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<sst xmlns="http://schemas.openxmlformats.org/spreadsheetml/2006/main" count="329" uniqueCount="117">
  <si>
    <t>Eelarve</t>
  </si>
  <si>
    <t>Laekumine</t>
  </si>
  <si>
    <t>Laekumine antud kuu käibest</t>
  </si>
  <si>
    <t>Constant</t>
  </si>
  <si>
    <t>tk/kuu</t>
  </si>
  <si>
    <t>Käive/kuu</t>
  </si>
  <si>
    <t>Laekumine/kuu</t>
  </si>
  <si>
    <t>Laekumine eelmise kuu käibest</t>
  </si>
  <si>
    <t>Laekumine kokku</t>
  </si>
  <si>
    <t>Väljaminekud</t>
  </si>
  <si>
    <t>Tooraine, materjalid, kaubad</t>
  </si>
  <si>
    <t>omahind</t>
  </si>
  <si>
    <t>omahind kuu</t>
  </si>
  <si>
    <t>2 kuu omahind</t>
  </si>
  <si>
    <t>Palgakulud</t>
  </si>
  <si>
    <t>palk/ kuu</t>
  </si>
  <si>
    <t>Muud maksud</t>
  </si>
  <si>
    <t>Muud maksud/kuu</t>
  </si>
  <si>
    <t>Maksud</t>
  </si>
  <si>
    <t>Väljaminekud kokku</t>
  </si>
  <si>
    <t>Rahavoog</t>
  </si>
  <si>
    <t>Raha jääk perioodi algul </t>
  </si>
  <si>
    <t>Raha jääk perioodi lõpuks</t>
  </si>
  <si>
    <t>Kasumi prognoos</t>
  </si>
  <si>
    <t>Netokäive</t>
  </si>
  <si>
    <t>Tooraine, materjalide ja komponentide kulu</t>
  </si>
  <si>
    <t>Intressikulud</t>
  </si>
  <si>
    <t>Kulum</t>
  </si>
  <si>
    <t>Kulum 10%</t>
  </si>
  <si>
    <t>Kulud kokku</t>
  </si>
  <si>
    <t>Kasum</t>
  </si>
  <si>
    <t>Bilansside prognoos</t>
  </si>
  <si>
    <r>
      <t>AKTIVA</t>
    </r>
    <r>
      <rPr>
        <sz val="10"/>
        <rFont val="Arial"/>
        <family val="0"/>
      </rPr>
      <t> </t>
    </r>
  </si>
  <si>
    <t>Raha</t>
  </si>
  <si>
    <t>Varud</t>
  </si>
  <si>
    <t>Käibevara</t>
  </si>
  <si>
    <t>Põhivara</t>
  </si>
  <si>
    <t>Põhivara kokku</t>
  </si>
  <si>
    <t>AKTIVA KOKKU</t>
  </si>
  <si>
    <t>PASSIVA</t>
  </si>
  <si>
    <t>Hankijatele tasumata arved</t>
  </si>
  <si>
    <t>Lühiajalised kohustused  kokku</t>
  </si>
  <si>
    <t>Osakapital</t>
  </si>
  <si>
    <t>Perioodi kasum</t>
  </si>
  <si>
    <t>Akumuleerunud kasum</t>
  </si>
  <si>
    <t>PASSIVA KOKKU</t>
  </si>
  <si>
    <t>Juuksur</t>
  </si>
  <si>
    <t>Toode/teenus</t>
  </si>
  <si>
    <t>Hind</t>
  </si>
  <si>
    <t>Tulu kuus</t>
  </si>
  <si>
    <t>kogus/ päevas</t>
  </si>
  <si>
    <t>küüne tehnik</t>
  </si>
  <si>
    <t>kosmetolog</t>
  </si>
  <si>
    <t>Toode müük</t>
  </si>
  <si>
    <t>Const.</t>
  </si>
  <si>
    <t>tööpäevad/kuus</t>
  </si>
  <si>
    <t>Brutto käive</t>
  </si>
  <si>
    <t>KM</t>
  </si>
  <si>
    <t>Netto käive</t>
  </si>
  <si>
    <t>Omahind</t>
  </si>
  <si>
    <t>Omahind kuus</t>
  </si>
  <si>
    <t>Brutto kulud</t>
  </si>
  <si>
    <t>Netto kulud</t>
  </si>
  <si>
    <t>juurdehindlus%</t>
  </si>
  <si>
    <t>Ametikoht</t>
  </si>
  <si>
    <t>inimised</t>
  </si>
  <si>
    <t>Sotsiaalmaks 33%</t>
  </si>
  <si>
    <t>Töötuskindlustus 1.4 %</t>
  </si>
  <si>
    <t>administrator</t>
  </si>
  <si>
    <t>Brutopalk kuus/in</t>
  </si>
  <si>
    <t>Sotsiaal maks 33%</t>
  </si>
  <si>
    <t>Töötus kindlustus 1.4 %</t>
  </si>
  <si>
    <t>Tööjõu kulu kokku kuus</t>
  </si>
  <si>
    <t>Muudkulud</t>
  </si>
  <si>
    <t>Side</t>
  </si>
  <si>
    <t>Vesi elekter</t>
  </si>
  <si>
    <t>Väikevahendid</t>
  </si>
  <si>
    <t>Auto kasutamise kulud</t>
  </si>
  <si>
    <t>Kontorikulud</t>
  </si>
  <si>
    <t>Ramatupidamine</t>
  </si>
  <si>
    <t>kokku</t>
  </si>
  <si>
    <t>Laenu laekumine </t>
  </si>
  <si>
    <t>Laen</t>
  </si>
  <si>
    <t>Masinad, seadmed</t>
  </si>
  <si>
    <t>Remont</t>
  </si>
  <si>
    <t>Palk+maksud</t>
  </si>
  <si>
    <t>Turunduskulud</t>
  </si>
  <si>
    <t>Rent</t>
  </si>
  <si>
    <t>Laenu tagastamine </t>
  </si>
  <si>
    <t>Intress kulud</t>
  </si>
  <si>
    <t>Kulum 20%</t>
  </si>
  <si>
    <t>I kv 2011</t>
  </si>
  <si>
    <t>II kv 2011</t>
  </si>
  <si>
    <t>III kv 2011</t>
  </si>
  <si>
    <t>IV kv 2011</t>
  </si>
  <si>
    <t>Palk 2010</t>
  </si>
  <si>
    <t>Massöör</t>
  </si>
  <si>
    <t>Palk  al. II kv 2011</t>
  </si>
  <si>
    <t>Tulude plaan 2010</t>
  </si>
  <si>
    <t>Tulude plaan al II kv 2011</t>
  </si>
  <si>
    <t>Omahind al. II kv 2011</t>
  </si>
  <si>
    <t>massaz</t>
  </si>
  <si>
    <t>Majanduse kasv</t>
  </si>
  <si>
    <t>Dividendid</t>
  </si>
  <si>
    <t>kotorid</t>
  </si>
  <si>
    <t>kesk/inimised</t>
  </si>
  <si>
    <t>in</t>
  </si>
  <si>
    <t>Hommikusöök</t>
  </si>
  <si>
    <t>Lõunasöök</t>
  </si>
  <si>
    <t>Kohvipaus</t>
  </si>
  <si>
    <t>Administrator</t>
  </si>
  <si>
    <t>Peakokk</t>
  </si>
  <si>
    <t>Kokk</t>
  </si>
  <si>
    <t>Kassapidaja</t>
  </si>
  <si>
    <t>Klienditenindaja</t>
  </si>
  <si>
    <t>Koristus</t>
  </si>
  <si>
    <t>Laen 10aastat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</si>
</sst>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"/>
    <numFmt numFmtId="170" formatCode="0.000"/>
    <numFmt numFmtId="171" formatCode="0.00000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0" fillId="0" borderId="6" xfId="0" applyFill="1" applyBorder="1" applyAlignment="1">
      <alignment/>
    </xf>
    <xf numFmtId="0" fontId="1" fillId="0" borderId="0" xfId="0" applyFont="1" applyAlignment="1">
      <alignment/>
    </xf>
    <xf numFmtId="0" fontId="0" fillId="0" borderId="7" xfId="0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168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" fontId="1" fillId="0" borderId="1" xfId="0" applyNumberFormat="1" applyFont="1" applyBorder="1" applyAlignment="1">
      <alignment/>
    </xf>
    <xf numFmtId="0" fontId="5" fillId="0" borderId="8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9" xfId="0" applyBorder="1" applyAlignment="1">
      <alignment/>
    </xf>
    <xf numFmtId="0" fontId="5" fillId="0" borderId="10" xfId="0" applyFont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 horizontal="right"/>
    </xf>
    <xf numFmtId="0" fontId="5" fillId="0" borderId="1" xfId="0" applyFont="1" applyBorder="1" applyAlignment="1">
      <alignment vertical="top" wrapText="1"/>
    </xf>
    <xf numFmtId="1" fontId="0" fillId="0" borderId="3" xfId="0" applyNumberForma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1" fontId="0" fillId="0" borderId="2" xfId="0" applyNumberForma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right"/>
    </xf>
    <xf numFmtId="1" fontId="1" fillId="0" borderId="15" xfId="0" applyNumberFormat="1" applyFont="1" applyBorder="1" applyAlignment="1">
      <alignment/>
    </xf>
    <xf numFmtId="1" fontId="0" fillId="0" borderId="0" xfId="0" applyNumberFormat="1" applyAlignment="1">
      <alignment/>
    </xf>
    <xf numFmtId="0" fontId="1" fillId="0" borderId="9" xfId="0" applyFont="1" applyBorder="1" applyAlignment="1">
      <alignment/>
    </xf>
    <xf numFmtId="1" fontId="0" fillId="0" borderId="9" xfId="0" applyNumberFormat="1" applyBorder="1" applyAlignment="1">
      <alignment/>
    </xf>
    <xf numFmtId="0" fontId="0" fillId="0" borderId="16" xfId="0" applyBorder="1" applyAlignment="1">
      <alignment/>
    </xf>
    <xf numFmtId="1" fontId="1" fillId="0" borderId="17" xfId="0" applyNumberFormat="1" applyFont="1" applyBorder="1" applyAlignment="1">
      <alignment/>
    </xf>
    <xf numFmtId="1" fontId="0" fillId="0" borderId="18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9" xfId="0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/>
    </xf>
    <xf numFmtId="1" fontId="1" fillId="0" borderId="9" xfId="0" applyNumberFormat="1" applyFont="1" applyBorder="1" applyAlignment="1">
      <alignment/>
    </xf>
    <xf numFmtId="0" fontId="0" fillId="0" borderId="6" xfId="0" applyFont="1" applyFill="1" applyBorder="1" applyAlignment="1">
      <alignment/>
    </xf>
    <xf numFmtId="168" fontId="0" fillId="0" borderId="0" xfId="0" applyNumberFormat="1" applyAlignment="1">
      <alignment/>
    </xf>
    <xf numFmtId="1" fontId="1" fillId="0" borderId="4" xfId="0" applyNumberFormat="1" applyFont="1" applyBorder="1" applyAlignment="1">
      <alignment/>
    </xf>
    <xf numFmtId="1" fontId="0" fillId="0" borderId="0" xfId="0" applyNumberFormat="1" applyAlignment="1">
      <alignment horizontal="right"/>
    </xf>
    <xf numFmtId="0" fontId="0" fillId="2" borderId="1" xfId="0" applyFill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Border="1" applyAlignment="1">
      <alignment/>
    </xf>
    <xf numFmtId="1" fontId="0" fillId="0" borderId="6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21" xfId="0" applyFill="1" applyBorder="1" applyAlignment="1">
      <alignment/>
    </xf>
    <xf numFmtId="0" fontId="1" fillId="0" borderId="9" xfId="0" applyFont="1" applyFill="1" applyBorder="1" applyAlignment="1">
      <alignment/>
    </xf>
    <xf numFmtId="1" fontId="1" fillId="0" borderId="22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3"/>
  <sheetViews>
    <sheetView zoomScale="145" zoomScaleNormal="145" workbookViewId="0" topLeftCell="A22">
      <selection activeCell="B44" sqref="B44"/>
    </sheetView>
  </sheetViews>
  <sheetFormatPr defaultColWidth="9.140625" defaultRowHeight="12.75"/>
  <cols>
    <col min="1" max="1" width="5.421875" style="0" customWidth="1"/>
    <col min="2" max="2" width="35.421875" style="0" customWidth="1"/>
  </cols>
  <sheetData>
    <row r="1" spans="2:14" ht="18">
      <c r="B1" s="2" t="s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</row>
    <row r="2" spans="2:14" ht="12.75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ht="12.75">
      <c r="B3" s="5" t="s">
        <v>2</v>
      </c>
      <c r="C3" s="5">
        <f aca="true" t="shared" si="0" ref="C3:N3">$H$32</f>
        <v>49000</v>
      </c>
      <c r="D3" s="5">
        <f t="shared" si="0"/>
        <v>49000</v>
      </c>
      <c r="E3" s="5">
        <f t="shared" si="0"/>
        <v>49000</v>
      </c>
      <c r="F3" s="5">
        <f t="shared" si="0"/>
        <v>49000</v>
      </c>
      <c r="G3" s="5">
        <f t="shared" si="0"/>
        <v>49000</v>
      </c>
      <c r="H3" s="5">
        <f t="shared" si="0"/>
        <v>49000</v>
      </c>
      <c r="I3" s="5">
        <f t="shared" si="0"/>
        <v>49000</v>
      </c>
      <c r="J3" s="5">
        <f t="shared" si="0"/>
        <v>49000</v>
      </c>
      <c r="K3" s="5">
        <f t="shared" si="0"/>
        <v>49000</v>
      </c>
      <c r="L3" s="5">
        <f t="shared" si="0"/>
        <v>49000</v>
      </c>
      <c r="M3" s="5">
        <f t="shared" si="0"/>
        <v>49000</v>
      </c>
      <c r="N3" s="5">
        <f t="shared" si="0"/>
        <v>49000</v>
      </c>
    </row>
    <row r="4" spans="2:14" ht="13.5" thickBot="1">
      <c r="B4" t="s">
        <v>7</v>
      </c>
      <c r="C4" s="7">
        <v>36000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14" ht="13.5" thickBot="1">
      <c r="B5" s="9" t="s">
        <v>8</v>
      </c>
      <c r="C5" s="10">
        <f>SUM(C3:C4)</f>
        <v>85000</v>
      </c>
      <c r="D5" s="10">
        <f aca="true" t="shared" si="1" ref="D5:N5">SUM(D3:D4)</f>
        <v>49000</v>
      </c>
      <c r="E5" s="10">
        <f t="shared" si="1"/>
        <v>49000</v>
      </c>
      <c r="F5" s="10">
        <f t="shared" si="1"/>
        <v>49000</v>
      </c>
      <c r="G5" s="10">
        <f t="shared" si="1"/>
        <v>49000</v>
      </c>
      <c r="H5" s="10">
        <f t="shared" si="1"/>
        <v>49000</v>
      </c>
      <c r="I5" s="10">
        <f t="shared" si="1"/>
        <v>49000</v>
      </c>
      <c r="J5" s="10">
        <f t="shared" si="1"/>
        <v>49000</v>
      </c>
      <c r="K5" s="10">
        <f t="shared" si="1"/>
        <v>49000</v>
      </c>
      <c r="L5" s="10">
        <f t="shared" si="1"/>
        <v>49000</v>
      </c>
      <c r="M5" s="10">
        <f t="shared" si="1"/>
        <v>49000</v>
      </c>
      <c r="N5" s="10">
        <f t="shared" si="1"/>
        <v>49000</v>
      </c>
    </row>
    <row r="6" spans="2:14" ht="12.75">
      <c r="B6" s="1" t="s">
        <v>9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2:14" ht="12.75">
      <c r="B7" s="5" t="s">
        <v>10</v>
      </c>
      <c r="C7" s="5">
        <v>20000</v>
      </c>
      <c r="D7" s="5">
        <f>20000+H34</f>
        <v>50000</v>
      </c>
      <c r="E7" s="5">
        <f aca="true" t="shared" si="2" ref="E7:N7">$H$34</f>
        <v>30000</v>
      </c>
      <c r="F7" s="5">
        <f t="shared" si="2"/>
        <v>30000</v>
      </c>
      <c r="G7" s="5">
        <f t="shared" si="2"/>
        <v>30000</v>
      </c>
      <c r="H7" s="5">
        <f t="shared" si="2"/>
        <v>30000</v>
      </c>
      <c r="I7" s="5">
        <f t="shared" si="2"/>
        <v>30000</v>
      </c>
      <c r="J7" s="5">
        <f t="shared" si="2"/>
        <v>30000</v>
      </c>
      <c r="K7" s="5">
        <f t="shared" si="2"/>
        <v>30000</v>
      </c>
      <c r="L7" s="5">
        <f t="shared" si="2"/>
        <v>30000</v>
      </c>
      <c r="M7" s="5">
        <f t="shared" si="2"/>
        <v>30000</v>
      </c>
      <c r="N7" s="5">
        <f t="shared" si="2"/>
        <v>30000</v>
      </c>
    </row>
    <row r="8" spans="2:15" ht="12.75">
      <c r="B8" s="5" t="s">
        <v>14</v>
      </c>
      <c r="C8" s="5">
        <f aca="true" t="shared" si="3" ref="C8:N8">$H$36</f>
        <v>3500</v>
      </c>
      <c r="D8" s="5">
        <f t="shared" si="3"/>
        <v>3500</v>
      </c>
      <c r="E8" s="5">
        <f t="shared" si="3"/>
        <v>3500</v>
      </c>
      <c r="F8" s="5">
        <f t="shared" si="3"/>
        <v>3500</v>
      </c>
      <c r="G8" s="5">
        <f t="shared" si="3"/>
        <v>3500</v>
      </c>
      <c r="H8" s="5">
        <f t="shared" si="3"/>
        <v>3500</v>
      </c>
      <c r="I8" s="5">
        <f t="shared" si="3"/>
        <v>3500</v>
      </c>
      <c r="J8" s="5">
        <f t="shared" si="3"/>
        <v>3500</v>
      </c>
      <c r="K8" s="5">
        <f t="shared" si="3"/>
        <v>3500</v>
      </c>
      <c r="L8" s="5">
        <f t="shared" si="3"/>
        <v>3500</v>
      </c>
      <c r="M8" s="5">
        <f t="shared" si="3"/>
        <v>3500</v>
      </c>
      <c r="N8" s="5">
        <f t="shared" si="3"/>
        <v>3500</v>
      </c>
      <c r="O8" s="11">
        <f>SUM(C8:N8)</f>
        <v>42000</v>
      </c>
    </row>
    <row r="9" spans="2:15" ht="12.75">
      <c r="B9" t="s">
        <v>16</v>
      </c>
      <c r="C9" s="5">
        <f aca="true" t="shared" si="4" ref="C9:N9">$H$37</f>
        <v>7500</v>
      </c>
      <c r="D9" s="5">
        <f t="shared" si="4"/>
        <v>7500</v>
      </c>
      <c r="E9" s="5">
        <f t="shared" si="4"/>
        <v>7500</v>
      </c>
      <c r="F9" s="5">
        <f t="shared" si="4"/>
        <v>7500</v>
      </c>
      <c r="G9" s="5">
        <f t="shared" si="4"/>
        <v>7500</v>
      </c>
      <c r="H9" s="5">
        <f t="shared" si="4"/>
        <v>7500</v>
      </c>
      <c r="I9" s="5">
        <f t="shared" si="4"/>
        <v>7500</v>
      </c>
      <c r="J9" s="5">
        <f t="shared" si="4"/>
        <v>7500</v>
      </c>
      <c r="K9" s="5">
        <f t="shared" si="4"/>
        <v>7500</v>
      </c>
      <c r="L9" s="5">
        <f t="shared" si="4"/>
        <v>7500</v>
      </c>
      <c r="M9" s="5">
        <f t="shared" si="4"/>
        <v>7500</v>
      </c>
      <c r="N9" s="5">
        <f t="shared" si="4"/>
        <v>7500</v>
      </c>
      <c r="O9" s="11">
        <f>SUM(C9:N9)</f>
        <v>90000</v>
      </c>
    </row>
    <row r="10" spans="2:14" ht="13.5" thickBot="1">
      <c r="B10" t="s">
        <v>18</v>
      </c>
      <c r="C10" s="7"/>
      <c r="D10" s="7"/>
      <c r="E10" s="7"/>
      <c r="F10" s="7"/>
      <c r="G10" s="7"/>
      <c r="H10" s="7">
        <v>16000</v>
      </c>
      <c r="I10" s="7"/>
      <c r="J10" s="7"/>
      <c r="K10" s="7"/>
      <c r="L10" s="7"/>
      <c r="M10" s="7"/>
      <c r="N10" s="7"/>
    </row>
    <row r="11" spans="2:14" ht="13.5" thickBot="1">
      <c r="B11" s="9" t="s">
        <v>19</v>
      </c>
      <c r="C11" s="10">
        <f>SUM(C7:C10)</f>
        <v>31000</v>
      </c>
      <c r="D11" s="10">
        <f aca="true" t="shared" si="5" ref="D11:N11">SUM(D7:D10)</f>
        <v>61000</v>
      </c>
      <c r="E11" s="10">
        <f t="shared" si="5"/>
        <v>41000</v>
      </c>
      <c r="F11" s="10">
        <f t="shared" si="5"/>
        <v>41000</v>
      </c>
      <c r="G11" s="10">
        <f t="shared" si="5"/>
        <v>41000</v>
      </c>
      <c r="H11" s="10">
        <f t="shared" si="5"/>
        <v>57000</v>
      </c>
      <c r="I11" s="10">
        <f t="shared" si="5"/>
        <v>41000</v>
      </c>
      <c r="J11" s="10">
        <f t="shared" si="5"/>
        <v>41000</v>
      </c>
      <c r="K11" s="10">
        <f t="shared" si="5"/>
        <v>41000</v>
      </c>
      <c r="L11" s="10">
        <f t="shared" si="5"/>
        <v>41000</v>
      </c>
      <c r="M11" s="10">
        <f t="shared" si="5"/>
        <v>41000</v>
      </c>
      <c r="N11" s="10">
        <f t="shared" si="5"/>
        <v>41000</v>
      </c>
    </row>
    <row r="12" spans="2:15" ht="12.75">
      <c r="B12" s="8" t="s">
        <v>20</v>
      </c>
      <c r="C12" s="8">
        <f>C5-C11</f>
        <v>54000</v>
      </c>
      <c r="D12" s="8">
        <f aca="true" t="shared" si="6" ref="D12:N12">D5-D11</f>
        <v>-12000</v>
      </c>
      <c r="E12" s="8">
        <f t="shared" si="6"/>
        <v>8000</v>
      </c>
      <c r="F12" s="8">
        <f t="shared" si="6"/>
        <v>8000</v>
      </c>
      <c r="G12" s="8">
        <f t="shared" si="6"/>
        <v>8000</v>
      </c>
      <c r="H12" s="8">
        <f t="shared" si="6"/>
        <v>-8000</v>
      </c>
      <c r="I12" s="8">
        <f t="shared" si="6"/>
        <v>8000</v>
      </c>
      <c r="J12" s="8">
        <f t="shared" si="6"/>
        <v>8000</v>
      </c>
      <c r="K12" s="8">
        <f t="shared" si="6"/>
        <v>8000</v>
      </c>
      <c r="L12" s="8">
        <f t="shared" si="6"/>
        <v>8000</v>
      </c>
      <c r="M12" s="8">
        <f t="shared" si="6"/>
        <v>8000</v>
      </c>
      <c r="N12" s="8">
        <f t="shared" si="6"/>
        <v>8000</v>
      </c>
      <c r="O12" s="11"/>
    </row>
    <row r="13" spans="2:14" ht="12.75">
      <c r="B13" t="s">
        <v>21</v>
      </c>
      <c r="C13" s="5">
        <v>-27000</v>
      </c>
      <c r="D13" s="5">
        <f>C14</f>
        <v>27000</v>
      </c>
      <c r="E13" s="5">
        <f aca="true" t="shared" si="7" ref="E13:N13">D14</f>
        <v>15000</v>
      </c>
      <c r="F13" s="5">
        <f t="shared" si="7"/>
        <v>23000</v>
      </c>
      <c r="G13" s="5">
        <f t="shared" si="7"/>
        <v>31000</v>
      </c>
      <c r="H13" s="5">
        <f t="shared" si="7"/>
        <v>39000</v>
      </c>
      <c r="I13" s="5">
        <f t="shared" si="7"/>
        <v>31000</v>
      </c>
      <c r="J13" s="5">
        <f t="shared" si="7"/>
        <v>39000</v>
      </c>
      <c r="K13" s="5">
        <f t="shared" si="7"/>
        <v>47000</v>
      </c>
      <c r="L13" s="5">
        <f t="shared" si="7"/>
        <v>55000</v>
      </c>
      <c r="M13" s="5">
        <f t="shared" si="7"/>
        <v>63000</v>
      </c>
      <c r="N13" s="5">
        <f t="shared" si="7"/>
        <v>71000</v>
      </c>
    </row>
    <row r="14" spans="2:14" ht="12.75">
      <c r="B14" t="s">
        <v>22</v>
      </c>
      <c r="C14" s="5">
        <f>SUM(C12:C13)</f>
        <v>27000</v>
      </c>
      <c r="D14" s="5">
        <f>SUM(D12:D13)</f>
        <v>15000</v>
      </c>
      <c r="E14" s="5">
        <f aca="true" t="shared" si="8" ref="E14:N14">SUM(E12:E13)</f>
        <v>23000</v>
      </c>
      <c r="F14" s="5">
        <f t="shared" si="8"/>
        <v>31000</v>
      </c>
      <c r="G14" s="5">
        <f t="shared" si="8"/>
        <v>39000</v>
      </c>
      <c r="H14" s="5">
        <f t="shared" si="8"/>
        <v>31000</v>
      </c>
      <c r="I14" s="5">
        <f t="shared" si="8"/>
        <v>39000</v>
      </c>
      <c r="J14" s="5">
        <f t="shared" si="8"/>
        <v>47000</v>
      </c>
      <c r="K14" s="5">
        <f t="shared" si="8"/>
        <v>55000</v>
      </c>
      <c r="L14" s="5">
        <f t="shared" si="8"/>
        <v>63000</v>
      </c>
      <c r="M14" s="5">
        <f t="shared" si="8"/>
        <v>71000</v>
      </c>
      <c r="N14" s="3">
        <f t="shared" si="8"/>
        <v>79000</v>
      </c>
    </row>
    <row r="15" spans="2:14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2:14" ht="12.75">
      <c r="B16" s="12" t="s">
        <v>23</v>
      </c>
      <c r="C16" s="5">
        <v>2010</v>
      </c>
      <c r="D16" s="5">
        <v>2011</v>
      </c>
      <c r="E16" s="5">
        <v>2012</v>
      </c>
      <c r="F16" s="5"/>
      <c r="G16" s="5"/>
      <c r="H16" s="5"/>
      <c r="I16" s="5"/>
      <c r="J16" s="5"/>
      <c r="K16" s="5"/>
      <c r="L16" s="5"/>
      <c r="M16" s="5"/>
      <c r="N16" s="5"/>
    </row>
    <row r="17" spans="2:14" ht="12.75">
      <c r="B17" t="s">
        <v>24</v>
      </c>
      <c r="C17" s="3">
        <f>300000*2</f>
        <v>600000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2:14" ht="12.75">
      <c r="B18" t="s">
        <v>25</v>
      </c>
      <c r="C18" s="5">
        <f>H33*300000</f>
        <v>360000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4" ht="12.75">
      <c r="B19" s="5" t="s">
        <v>14</v>
      </c>
      <c r="C19" s="5">
        <f>O8</f>
        <v>42000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4" ht="12.75">
      <c r="B20" t="s">
        <v>16</v>
      </c>
      <c r="C20" s="5">
        <f>O9</f>
        <v>90000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2:14" ht="12.75">
      <c r="B21" t="s">
        <v>26</v>
      </c>
      <c r="C21" s="5">
        <f>12000</f>
        <v>12000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2:14" ht="12.75">
      <c r="B22" t="s">
        <v>28</v>
      </c>
      <c r="C22" s="5">
        <v>20000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2:14" ht="12.75">
      <c r="B23" s="5" t="s">
        <v>29</v>
      </c>
      <c r="C23" s="3">
        <f>SUM(C18:C22)</f>
        <v>524000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4" ht="12.75">
      <c r="B24" s="5" t="s">
        <v>30</v>
      </c>
      <c r="C24" s="5">
        <f>C17-C23</f>
        <v>76000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2:14" ht="12.7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2:14" ht="12.75">
      <c r="B26" s="15" t="s">
        <v>31</v>
      </c>
      <c r="C26" s="5">
        <v>2010</v>
      </c>
      <c r="D26" s="5">
        <v>2011</v>
      </c>
      <c r="E26" s="5">
        <v>2012</v>
      </c>
      <c r="F26" s="13"/>
      <c r="G26" s="5"/>
      <c r="H26" s="5"/>
      <c r="I26" s="5"/>
      <c r="J26" s="5"/>
      <c r="K26" s="5"/>
      <c r="L26" s="5"/>
      <c r="M26" s="5"/>
      <c r="N26" s="5"/>
    </row>
    <row r="27" spans="2:14" ht="12.75">
      <c r="B27" s="16" t="s">
        <v>32</v>
      </c>
      <c r="C27" s="5"/>
      <c r="D27" s="5"/>
      <c r="E27" s="5"/>
      <c r="F27" s="13"/>
      <c r="G27" s="5"/>
      <c r="H27" s="5"/>
      <c r="I27" s="5"/>
      <c r="J27" s="5"/>
      <c r="K27" s="5"/>
      <c r="L27" s="5"/>
      <c r="M27" s="5"/>
      <c r="N27" s="5"/>
    </row>
    <row r="28" spans="2:14" ht="12.75">
      <c r="B28" s="5" t="s">
        <v>33</v>
      </c>
      <c r="C28" s="5">
        <f>N14</f>
        <v>79000</v>
      </c>
      <c r="D28" s="5"/>
      <c r="E28" s="5"/>
      <c r="F28" s="13"/>
      <c r="G28" s="5"/>
      <c r="H28" s="5"/>
      <c r="I28" s="5"/>
      <c r="J28" s="5"/>
      <c r="K28" s="5"/>
      <c r="L28" s="5"/>
      <c r="M28" s="5"/>
      <c r="N28" s="5"/>
    </row>
    <row r="29" spans="2:7" ht="12.75">
      <c r="B29" s="5" t="s">
        <v>34</v>
      </c>
      <c r="C29" s="5">
        <f>H35</f>
        <v>60000</v>
      </c>
      <c r="D29" s="5"/>
      <c r="E29" s="5"/>
      <c r="G29" s="6" t="s">
        <v>3</v>
      </c>
    </row>
    <row r="30" spans="2:8" ht="12.75">
      <c r="B30" s="4" t="s">
        <v>35</v>
      </c>
      <c r="C30" s="3">
        <f>SUM(C28:C29)</f>
        <v>139000</v>
      </c>
      <c r="D30" s="5"/>
      <c r="E30" s="5"/>
      <c r="G30" t="s">
        <v>4</v>
      </c>
      <c r="H30">
        <f>300000/12</f>
        <v>25000</v>
      </c>
    </row>
    <row r="31" spans="2:8" ht="12.75">
      <c r="B31" s="5" t="s">
        <v>36</v>
      </c>
      <c r="C31" s="5">
        <v>200000</v>
      </c>
      <c r="D31" s="5"/>
      <c r="E31" s="5"/>
      <c r="G31" t="s">
        <v>5</v>
      </c>
      <c r="H31">
        <f>H30*2</f>
        <v>50000</v>
      </c>
    </row>
    <row r="32" spans="2:8" ht="12.75">
      <c r="B32" s="5" t="s">
        <v>27</v>
      </c>
      <c r="C32" s="5">
        <v>-83000</v>
      </c>
      <c r="D32" s="5"/>
      <c r="E32" s="5"/>
      <c r="G32" t="s">
        <v>6</v>
      </c>
      <c r="H32">
        <f>H31*0.98</f>
        <v>49000</v>
      </c>
    </row>
    <row r="33" spans="2:8" ht="12.75">
      <c r="B33" s="4" t="s">
        <v>37</v>
      </c>
      <c r="C33" s="3">
        <f>SUM(C31:C32)</f>
        <v>117000</v>
      </c>
      <c r="D33" s="5"/>
      <c r="E33" s="5"/>
      <c r="G33" t="s">
        <v>11</v>
      </c>
      <c r="H33">
        <f>240000/200000</f>
        <v>1.2</v>
      </c>
    </row>
    <row r="34" spans="2:8" ht="12.75">
      <c r="B34" s="3" t="s">
        <v>38</v>
      </c>
      <c r="C34" s="3">
        <f>C30+C33</f>
        <v>256000</v>
      </c>
      <c r="D34" s="5"/>
      <c r="E34" s="5"/>
      <c r="G34" t="s">
        <v>12</v>
      </c>
      <c r="H34">
        <f>H33*H30</f>
        <v>30000</v>
      </c>
    </row>
    <row r="35" spans="2:8" ht="12.75">
      <c r="B35" s="16" t="s">
        <v>39</v>
      </c>
      <c r="C35" s="5"/>
      <c r="D35" s="5"/>
      <c r="E35" s="5"/>
      <c r="G35" t="s">
        <v>13</v>
      </c>
      <c r="H35">
        <f>H34*2</f>
        <v>60000</v>
      </c>
    </row>
    <row r="36" spans="2:8" ht="12.75">
      <c r="B36" s="5"/>
      <c r="C36" s="5"/>
      <c r="D36" s="5"/>
      <c r="E36" s="5"/>
      <c r="G36" t="s">
        <v>15</v>
      </c>
      <c r="H36">
        <f>42000/12</f>
        <v>3500</v>
      </c>
    </row>
    <row r="37" spans="2:8" ht="12.75">
      <c r="B37" s="5" t="s">
        <v>40</v>
      </c>
      <c r="C37" s="5">
        <v>30000</v>
      </c>
      <c r="D37" s="5"/>
      <c r="E37" s="5"/>
      <c r="G37" t="s">
        <v>17</v>
      </c>
      <c r="H37">
        <f>90000/12</f>
        <v>7500</v>
      </c>
    </row>
    <row r="38" spans="2:5" ht="12.75">
      <c r="B38" s="17" t="s">
        <v>41</v>
      </c>
      <c r="C38" s="14">
        <f>SUM(C37)</f>
        <v>30000</v>
      </c>
      <c r="D38" s="5"/>
      <c r="E38" s="5"/>
    </row>
    <row r="39" spans="2:5" ht="12.75">
      <c r="B39" s="5" t="s">
        <v>42</v>
      </c>
      <c r="C39" s="5">
        <v>100000</v>
      </c>
      <c r="D39" s="5"/>
      <c r="E39" s="5"/>
    </row>
    <row r="40" spans="2:5" ht="12.75">
      <c r="B40" s="5" t="s">
        <v>43</v>
      </c>
      <c r="C40" s="5">
        <f>C24</f>
        <v>76000</v>
      </c>
      <c r="D40" s="5"/>
      <c r="E40" s="5"/>
    </row>
    <row r="41" spans="2:5" ht="12.75">
      <c r="B41" s="5" t="s">
        <v>44</v>
      </c>
      <c r="C41" s="5">
        <v>50000</v>
      </c>
      <c r="D41" s="5"/>
      <c r="E41" s="5"/>
    </row>
    <row r="42" spans="2:5" ht="12.75">
      <c r="B42" s="3" t="s">
        <v>45</v>
      </c>
      <c r="C42" s="3">
        <f>SUM(C38:C41)</f>
        <v>256000</v>
      </c>
      <c r="D42" s="5"/>
      <c r="E42" s="5"/>
    </row>
    <row r="43" spans="2:5" ht="12.75">
      <c r="B43" s="5"/>
      <c r="C43" s="5"/>
      <c r="D43" s="5"/>
      <c r="E43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3"/>
  <sheetViews>
    <sheetView zoomScale="160" zoomScaleNormal="160" workbookViewId="0" topLeftCell="A1">
      <pane xSplit="1" topLeftCell="B1" activePane="topRight" state="frozen"/>
      <selection pane="topLeft" activeCell="A47" sqref="A47"/>
      <selection pane="topRight" activeCell="A1" sqref="A1:IV16384"/>
    </sheetView>
  </sheetViews>
  <sheetFormatPr defaultColWidth="9.140625" defaultRowHeight="12.75"/>
  <cols>
    <col min="1" max="1" width="24.00390625" style="0" customWidth="1"/>
    <col min="3" max="3" width="9.8515625" style="0" customWidth="1"/>
    <col min="4" max="4" width="8.8515625" style="0" customWidth="1"/>
    <col min="16" max="16" width="11.8515625" style="0" customWidth="1"/>
  </cols>
  <sheetData>
    <row r="1" ht="12.75">
      <c r="A1" t="s">
        <v>54</v>
      </c>
    </row>
    <row r="2" spans="1:2" ht="12.75">
      <c r="A2" s="5" t="s">
        <v>55</v>
      </c>
      <c r="B2" s="5">
        <v>27</v>
      </c>
    </row>
    <row r="3" spans="1:2" ht="12.75">
      <c r="A3" s="5" t="s">
        <v>63</v>
      </c>
      <c r="B3" s="5">
        <v>400</v>
      </c>
    </row>
    <row r="4" spans="1:2" ht="12.75">
      <c r="A4" s="29" t="s">
        <v>66</v>
      </c>
      <c r="B4" s="5">
        <v>0.33</v>
      </c>
    </row>
    <row r="5" spans="1:2" ht="12.75">
      <c r="A5" s="29" t="s">
        <v>67</v>
      </c>
      <c r="B5" s="5">
        <v>0.014</v>
      </c>
    </row>
    <row r="6" spans="1:2" ht="12.75">
      <c r="A6" s="5" t="s">
        <v>82</v>
      </c>
      <c r="B6" s="5">
        <v>450000</v>
      </c>
    </row>
    <row r="7" spans="1:2" ht="12.75">
      <c r="A7" s="5" t="s">
        <v>86</v>
      </c>
      <c r="B7" s="5">
        <v>3000</v>
      </c>
    </row>
    <row r="8" spans="1:2" ht="12.75">
      <c r="A8" s="26" t="s">
        <v>87</v>
      </c>
      <c r="B8" s="5">
        <v>20000</v>
      </c>
    </row>
    <row r="9" spans="1:2" ht="12.75">
      <c r="A9" s="5" t="s">
        <v>88</v>
      </c>
      <c r="B9" s="19">
        <f>B6/4/12</f>
        <v>9375</v>
      </c>
    </row>
    <row r="10" spans="1:3" ht="12.75">
      <c r="A10" s="5" t="s">
        <v>89</v>
      </c>
      <c r="B10" s="19">
        <f>B6*0.05/12</f>
        <v>1875</v>
      </c>
      <c r="C10" s="53">
        <f>B98*0.05/12</f>
        <v>1406.25</v>
      </c>
    </row>
    <row r="11" spans="1:2" ht="12.75">
      <c r="A11" s="5" t="s">
        <v>90</v>
      </c>
      <c r="B11" s="18">
        <v>0.2</v>
      </c>
    </row>
    <row r="12" spans="1:2" ht="12.75">
      <c r="A12" s="5" t="s">
        <v>102</v>
      </c>
      <c r="B12" s="5">
        <v>1.05</v>
      </c>
    </row>
    <row r="15" spans="1:7" ht="12.75">
      <c r="A15" t="s">
        <v>98</v>
      </c>
      <c r="G15" t="s">
        <v>99</v>
      </c>
    </row>
    <row r="16" spans="1:10" ht="12.75">
      <c r="A16" s="3" t="s">
        <v>47</v>
      </c>
      <c r="B16" s="3" t="s">
        <v>48</v>
      </c>
      <c r="C16" s="3" t="s">
        <v>50</v>
      </c>
      <c r="D16" s="3" t="s">
        <v>49</v>
      </c>
      <c r="G16" s="3" t="s">
        <v>47</v>
      </c>
      <c r="H16" s="3" t="s">
        <v>48</v>
      </c>
      <c r="I16" s="3" t="s">
        <v>50</v>
      </c>
      <c r="J16" s="3" t="s">
        <v>49</v>
      </c>
    </row>
    <row r="17" spans="1:10" ht="12.75">
      <c r="A17" s="5" t="s">
        <v>46</v>
      </c>
      <c r="B17" s="5">
        <v>400</v>
      </c>
      <c r="C17" s="5">
        <v>12</v>
      </c>
      <c r="D17" s="5">
        <f>B17*C17*$B$2</f>
        <v>129600</v>
      </c>
      <c r="G17" s="5" t="s">
        <v>46</v>
      </c>
      <c r="H17" s="5">
        <v>400</v>
      </c>
      <c r="I17" s="5">
        <v>12</v>
      </c>
      <c r="J17" s="5">
        <f>H17*I17*$B$2</f>
        <v>129600</v>
      </c>
    </row>
    <row r="18" spans="1:10" ht="12.75">
      <c r="A18" s="5" t="s">
        <v>51</v>
      </c>
      <c r="B18" s="5">
        <v>200</v>
      </c>
      <c r="C18" s="5">
        <v>5</v>
      </c>
      <c r="D18" s="5">
        <f>B18*C18*$B$2</f>
        <v>27000</v>
      </c>
      <c r="G18" s="5" t="s">
        <v>51</v>
      </c>
      <c r="H18" s="5">
        <v>200</v>
      </c>
      <c r="I18" s="5">
        <v>5</v>
      </c>
      <c r="J18" s="5">
        <f>H18*I18*$B$2</f>
        <v>27000</v>
      </c>
    </row>
    <row r="19" spans="1:10" ht="12.75">
      <c r="A19" s="5" t="s">
        <v>52</v>
      </c>
      <c r="B19" s="5">
        <v>450</v>
      </c>
      <c r="C19" s="5">
        <v>3</v>
      </c>
      <c r="D19" s="5">
        <f>B19*C19*$B$2</f>
        <v>36450</v>
      </c>
      <c r="G19" s="5" t="s">
        <v>52</v>
      </c>
      <c r="H19" s="5">
        <v>450</v>
      </c>
      <c r="I19" s="5">
        <v>3</v>
      </c>
      <c r="J19" s="5">
        <f>H19*I19*$B$2</f>
        <v>36450</v>
      </c>
    </row>
    <row r="20" spans="1:10" ht="12.75">
      <c r="A20" s="5" t="s">
        <v>53</v>
      </c>
      <c r="B20" s="5">
        <v>350</v>
      </c>
      <c r="C20" s="5">
        <v>2</v>
      </c>
      <c r="D20" s="5">
        <f>B20*C20*$B$2</f>
        <v>18900</v>
      </c>
      <c r="G20" s="5" t="s">
        <v>53</v>
      </c>
      <c r="H20" s="5">
        <v>350</v>
      </c>
      <c r="I20" s="5">
        <v>2</v>
      </c>
      <c r="J20" s="5">
        <f>H20*I20*$B$2</f>
        <v>18900</v>
      </c>
    </row>
    <row r="21" spans="1:10" ht="12.75">
      <c r="A21" s="5"/>
      <c r="B21" s="5"/>
      <c r="C21" s="5" t="s">
        <v>56</v>
      </c>
      <c r="D21" s="3">
        <f>SUM(D17:D20)</f>
        <v>211950</v>
      </c>
      <c r="G21" s="5" t="s">
        <v>101</v>
      </c>
      <c r="H21" s="5">
        <v>450</v>
      </c>
      <c r="I21" s="11">
        <v>2</v>
      </c>
      <c r="J21" s="11">
        <f>H21*I21*$B$2</f>
        <v>24300</v>
      </c>
    </row>
    <row r="22" spans="1:10" ht="12.75">
      <c r="A22" s="5"/>
      <c r="B22" s="5"/>
      <c r="C22" s="5" t="s">
        <v>57</v>
      </c>
      <c r="D22" s="5">
        <f>D21*0.2/1.2</f>
        <v>35325</v>
      </c>
      <c r="G22" s="5"/>
      <c r="H22" s="5"/>
      <c r="I22" s="5" t="s">
        <v>56</v>
      </c>
      <c r="J22" s="3">
        <f>SUM(J17:J21)</f>
        <v>236250</v>
      </c>
    </row>
    <row r="23" spans="1:10" ht="12.75">
      <c r="A23" s="5"/>
      <c r="B23" s="5"/>
      <c r="C23" s="3" t="s">
        <v>58</v>
      </c>
      <c r="D23" s="3">
        <f>D21-D22</f>
        <v>176625</v>
      </c>
      <c r="G23" s="5"/>
      <c r="H23" s="5"/>
      <c r="I23" s="5" t="s">
        <v>57</v>
      </c>
      <c r="J23" s="5">
        <f>J22*0.2/1.2</f>
        <v>39375</v>
      </c>
    </row>
    <row r="24" spans="9:10" ht="12.75">
      <c r="I24" s="3" t="s">
        <v>58</v>
      </c>
      <c r="J24" s="3">
        <f>J22-J23</f>
        <v>196875</v>
      </c>
    </row>
    <row r="25" spans="1:7" ht="12.75">
      <c r="A25" t="s">
        <v>59</v>
      </c>
      <c r="G25" t="s">
        <v>100</v>
      </c>
    </row>
    <row r="26" spans="1:10" ht="12.75">
      <c r="A26" s="3" t="s">
        <v>47</v>
      </c>
      <c r="B26" s="3" t="s">
        <v>11</v>
      </c>
      <c r="C26" s="3" t="s">
        <v>50</v>
      </c>
      <c r="D26" s="3" t="s">
        <v>60</v>
      </c>
      <c r="G26" s="3" t="s">
        <v>47</v>
      </c>
      <c r="H26" s="3" t="s">
        <v>11</v>
      </c>
      <c r="I26" s="3" t="s">
        <v>50</v>
      </c>
      <c r="J26" s="3" t="s">
        <v>60</v>
      </c>
    </row>
    <row r="27" spans="1:10" ht="12.75">
      <c r="A27" s="5" t="s">
        <v>46</v>
      </c>
      <c r="B27" s="5">
        <v>50</v>
      </c>
      <c r="C27" s="5">
        <f>C17</f>
        <v>12</v>
      </c>
      <c r="D27" s="5">
        <f>B27*C27*$B$2</f>
        <v>16200</v>
      </c>
      <c r="G27" s="5" t="s">
        <v>46</v>
      </c>
      <c r="H27" s="5">
        <v>50</v>
      </c>
      <c r="I27" s="5">
        <f>I17</f>
        <v>12</v>
      </c>
      <c r="J27" s="5">
        <f>H27*I27*$B$2</f>
        <v>16200</v>
      </c>
    </row>
    <row r="28" spans="1:10" ht="12.75">
      <c r="A28" s="5" t="s">
        <v>51</v>
      </c>
      <c r="B28" s="5">
        <v>20</v>
      </c>
      <c r="C28" s="5">
        <f>C18</f>
        <v>5</v>
      </c>
      <c r="D28" s="5">
        <f>B28*C28*$B$2</f>
        <v>2700</v>
      </c>
      <c r="G28" s="5" t="s">
        <v>51</v>
      </c>
      <c r="H28" s="5">
        <v>20</v>
      </c>
      <c r="I28" s="5">
        <f>I18</f>
        <v>5</v>
      </c>
      <c r="J28" s="5">
        <f>H28*I28*$B$2</f>
        <v>2700</v>
      </c>
    </row>
    <row r="29" spans="1:10" ht="12.75">
      <c r="A29" s="5" t="s">
        <v>52</v>
      </c>
      <c r="B29" s="5">
        <v>50</v>
      </c>
      <c r="C29" s="5">
        <f>C19</f>
        <v>3</v>
      </c>
      <c r="D29" s="5">
        <f>B29*C29*$B$2</f>
        <v>4050</v>
      </c>
      <c r="G29" s="5" t="s">
        <v>52</v>
      </c>
      <c r="H29" s="5">
        <v>50</v>
      </c>
      <c r="I29" s="5">
        <f>I19</f>
        <v>3</v>
      </c>
      <c r="J29" s="5">
        <f>H29*I29*$B$2</f>
        <v>4050</v>
      </c>
    </row>
    <row r="30" spans="1:10" ht="12.75">
      <c r="A30" s="5" t="s">
        <v>53</v>
      </c>
      <c r="B30" s="19">
        <f>H20*100/(B3+100)</f>
        <v>70</v>
      </c>
      <c r="C30" s="5">
        <f>C20</f>
        <v>2</v>
      </c>
      <c r="D30" s="5">
        <f>B30*C30*$B$2</f>
        <v>3780</v>
      </c>
      <c r="G30" s="5" t="s">
        <v>53</v>
      </c>
      <c r="H30" s="19">
        <f>H20*100/(B3+100)</f>
        <v>70</v>
      </c>
      <c r="I30" s="5">
        <f>I20</f>
        <v>2</v>
      </c>
      <c r="J30" s="5">
        <f>H30*I30*$B$2</f>
        <v>3780</v>
      </c>
    </row>
    <row r="31" spans="1:10" ht="12.75">
      <c r="A31" s="5"/>
      <c r="B31" s="5"/>
      <c r="C31" s="5" t="s">
        <v>61</v>
      </c>
      <c r="D31" s="3">
        <f>SUM(D27:D30)</f>
        <v>26730</v>
      </c>
      <c r="G31" s="5" t="s">
        <v>101</v>
      </c>
      <c r="H31" s="5">
        <v>50</v>
      </c>
      <c r="I31">
        <v>2</v>
      </c>
      <c r="J31" s="5">
        <f>H31*I31*$B$2</f>
        <v>2700</v>
      </c>
    </row>
    <row r="32" spans="1:10" ht="12.75">
      <c r="A32" s="5"/>
      <c r="B32" s="5"/>
      <c r="C32" s="5" t="s">
        <v>57</v>
      </c>
      <c r="D32" s="19">
        <f>D31*0.2/1.2</f>
        <v>4455</v>
      </c>
      <c r="G32" s="5"/>
      <c r="H32" s="5"/>
      <c r="I32" s="5" t="s">
        <v>61</v>
      </c>
      <c r="J32" s="3">
        <f>SUM(J27:J31)</f>
        <v>29430</v>
      </c>
    </row>
    <row r="33" spans="1:10" ht="12.75">
      <c r="A33" s="5"/>
      <c r="B33" s="5"/>
      <c r="C33" s="3" t="s">
        <v>62</v>
      </c>
      <c r="D33" s="20">
        <f>D31-D32</f>
        <v>22275</v>
      </c>
      <c r="G33" s="5"/>
      <c r="H33" s="5"/>
      <c r="I33" s="5" t="s">
        <v>57</v>
      </c>
      <c r="J33" s="19">
        <f>J32*0.2/1.2</f>
        <v>4905</v>
      </c>
    </row>
    <row r="34" spans="9:10" ht="12.75">
      <c r="I34" s="3" t="s">
        <v>62</v>
      </c>
      <c r="J34" s="20">
        <f>J32-J33</f>
        <v>24525</v>
      </c>
    </row>
    <row r="35" spans="1:12" ht="13.5" thickBot="1">
      <c r="A35" t="s">
        <v>95</v>
      </c>
      <c r="D35">
        <v>0.33</v>
      </c>
      <c r="E35">
        <v>0.014</v>
      </c>
      <c r="H35" t="s">
        <v>97</v>
      </c>
      <c r="K35">
        <v>0.33</v>
      </c>
      <c r="L35">
        <v>0.014</v>
      </c>
    </row>
    <row r="36" spans="1:13" ht="51.75" thickBot="1">
      <c r="A36" s="21" t="s">
        <v>64</v>
      </c>
      <c r="B36" s="24" t="s">
        <v>65</v>
      </c>
      <c r="C36" s="24" t="s">
        <v>69</v>
      </c>
      <c r="D36" s="24" t="s">
        <v>70</v>
      </c>
      <c r="E36" s="24" t="s">
        <v>71</v>
      </c>
      <c r="F36" s="24" t="s">
        <v>72</v>
      </c>
      <c r="H36" s="21" t="s">
        <v>64</v>
      </c>
      <c r="I36" s="24" t="s">
        <v>65</v>
      </c>
      <c r="J36" s="24" t="s">
        <v>69</v>
      </c>
      <c r="K36" s="24" t="s">
        <v>70</v>
      </c>
      <c r="L36" s="24" t="s">
        <v>71</v>
      </c>
      <c r="M36" s="24" t="s">
        <v>72</v>
      </c>
    </row>
    <row r="37" spans="1:13" ht="12.75">
      <c r="A37" s="23" t="s">
        <v>46</v>
      </c>
      <c r="B37" s="5">
        <v>3</v>
      </c>
      <c r="C37" s="5">
        <v>10000</v>
      </c>
      <c r="D37" s="5">
        <f>C37*$B$4*B37</f>
        <v>9900</v>
      </c>
      <c r="E37" s="5">
        <f>C37*$B$5*B37</f>
        <v>420</v>
      </c>
      <c r="F37" s="5">
        <f>C37*B37+D37+E37</f>
        <v>40320</v>
      </c>
      <c r="H37" s="23" t="s">
        <v>46</v>
      </c>
      <c r="I37" s="5">
        <v>3</v>
      </c>
      <c r="J37" s="5">
        <v>10000</v>
      </c>
      <c r="K37" s="5">
        <f>J37*$B$4*I37</f>
        <v>9900</v>
      </c>
      <c r="L37" s="5">
        <f>J37*$B$5*I37</f>
        <v>420</v>
      </c>
      <c r="M37" s="5">
        <f>J37*I37+K37+L37</f>
        <v>40320</v>
      </c>
    </row>
    <row r="38" spans="1:13" ht="12.75">
      <c r="A38" s="23" t="s">
        <v>51</v>
      </c>
      <c r="B38" s="5">
        <v>1</v>
      </c>
      <c r="C38" s="5">
        <v>10000</v>
      </c>
      <c r="D38" s="5">
        <f>C38*$B$4*B38</f>
        <v>3300</v>
      </c>
      <c r="E38" s="5">
        <f>C38*$B$5*B38</f>
        <v>140</v>
      </c>
      <c r="F38" s="5">
        <f>C38*B38+D38+E38</f>
        <v>13440</v>
      </c>
      <c r="H38" s="23" t="s">
        <v>51</v>
      </c>
      <c r="I38" s="5">
        <v>1</v>
      </c>
      <c r="J38" s="5">
        <v>10000</v>
      </c>
      <c r="K38" s="5">
        <f>J38*$B$4*I38</f>
        <v>3300</v>
      </c>
      <c r="L38" s="5">
        <f>J38*$B$5*I38</f>
        <v>140</v>
      </c>
      <c r="M38" s="5">
        <f>J38*I38+K38+L38</f>
        <v>13440</v>
      </c>
    </row>
    <row r="39" spans="1:13" ht="12.75">
      <c r="A39" s="23" t="s">
        <v>52</v>
      </c>
      <c r="B39" s="5">
        <v>1</v>
      </c>
      <c r="C39" s="5">
        <v>10000</v>
      </c>
      <c r="D39" s="5">
        <f>C39*$B$4*B39</f>
        <v>3300</v>
      </c>
      <c r="E39" s="5">
        <f>C39*$B$5*B39</f>
        <v>140</v>
      </c>
      <c r="F39" s="5">
        <f>C39*B39+D39+E39</f>
        <v>13440</v>
      </c>
      <c r="H39" s="5" t="s">
        <v>52</v>
      </c>
      <c r="I39" s="5">
        <v>1</v>
      </c>
      <c r="J39" s="5">
        <v>10000</v>
      </c>
      <c r="K39" s="5">
        <f>J39*$B$4*I39</f>
        <v>3300</v>
      </c>
      <c r="L39" s="5">
        <f>J39*$B$5*I39</f>
        <v>140</v>
      </c>
      <c r="M39" s="5">
        <f>J39*I39+K39+L39</f>
        <v>13440</v>
      </c>
    </row>
    <row r="40" spans="1:13" ht="12.75">
      <c r="A40" s="22" t="s">
        <v>68</v>
      </c>
      <c r="B40" s="5">
        <v>1</v>
      </c>
      <c r="C40" s="5">
        <v>8000</v>
      </c>
      <c r="D40" s="5">
        <f>C40*$B$4*B40</f>
        <v>2640</v>
      </c>
      <c r="E40" s="5">
        <f>C40*$B$5*B40</f>
        <v>112</v>
      </c>
      <c r="F40" s="5">
        <f>C40*B40+D40+E40</f>
        <v>10752</v>
      </c>
      <c r="H40" s="26" t="s">
        <v>68</v>
      </c>
      <c r="I40" s="5">
        <v>1</v>
      </c>
      <c r="J40" s="5">
        <v>8000</v>
      </c>
      <c r="K40" s="5">
        <f>J40*$B$4*I40</f>
        <v>2640</v>
      </c>
      <c r="L40" s="5">
        <f>J40*$B$5*I40</f>
        <v>112</v>
      </c>
      <c r="M40" s="5">
        <f>J40*I40+K40+L40</f>
        <v>10752</v>
      </c>
    </row>
    <row r="41" spans="6:13" ht="12.75">
      <c r="F41" s="25">
        <f>SUM(F37:F40)</f>
        <v>77952</v>
      </c>
      <c r="H41" s="26" t="s">
        <v>96</v>
      </c>
      <c r="I41" s="26">
        <v>1</v>
      </c>
      <c r="J41" s="26">
        <v>10000</v>
      </c>
      <c r="K41" s="26">
        <f>J41*$B$4*I41</f>
        <v>3300</v>
      </c>
      <c r="L41" s="26">
        <f>J41*$B$5*I41</f>
        <v>140</v>
      </c>
      <c r="M41" s="26">
        <f>J41*I41+K41+L41</f>
        <v>13440</v>
      </c>
    </row>
    <row r="42" ht="12.75">
      <c r="M42" s="25">
        <f>SUM(M37:M41)</f>
        <v>91392</v>
      </c>
    </row>
    <row r="43" spans="1:2" ht="12.75">
      <c r="A43" s="3" t="s">
        <v>73</v>
      </c>
      <c r="B43" s="5"/>
    </row>
    <row r="44" spans="1:2" ht="12.75">
      <c r="A44" s="5" t="s">
        <v>74</v>
      </c>
      <c r="B44" s="5">
        <v>1000</v>
      </c>
    </row>
    <row r="45" spans="1:2" ht="12.75">
      <c r="A45" s="5" t="s">
        <v>75</v>
      </c>
      <c r="B45" s="5">
        <v>3000</v>
      </c>
    </row>
    <row r="46" spans="1:2" ht="12.75">
      <c r="A46" s="5" t="s">
        <v>76</v>
      </c>
      <c r="B46" s="5">
        <v>1000</v>
      </c>
    </row>
    <row r="47" spans="1:2" ht="12.75">
      <c r="A47" s="5" t="s">
        <v>77</v>
      </c>
      <c r="B47" s="5">
        <v>1000</v>
      </c>
    </row>
    <row r="48" spans="1:2" ht="12.75">
      <c r="A48" s="5" t="s">
        <v>78</v>
      </c>
      <c r="B48" s="5">
        <v>1000</v>
      </c>
    </row>
    <row r="49" spans="1:2" ht="12.75">
      <c r="A49" s="26" t="s">
        <v>79</v>
      </c>
      <c r="B49" s="27">
        <v>2000</v>
      </c>
    </row>
    <row r="50" spans="1:13" ht="12.75">
      <c r="A50" s="28" t="s">
        <v>80</v>
      </c>
      <c r="B50" s="3">
        <f>SUM(B44:B49)</f>
        <v>9000</v>
      </c>
      <c r="D50" s="51">
        <f>(B51+C51+D51)/3</f>
        <v>0.7666666666666666</v>
      </c>
      <c r="G50" s="51">
        <f>(E52+F52+G52)/3</f>
        <v>1.2333333333333334</v>
      </c>
      <c r="J50">
        <f>(H52+I52+J52)/3</f>
        <v>1.0999999999999999</v>
      </c>
      <c r="M50" s="51">
        <f>(K52+L52+M52)/3</f>
        <v>0.9666666666666667</v>
      </c>
    </row>
    <row r="51" spans="2:4" ht="13.5" thickBot="1">
      <c r="B51" s="50">
        <v>0.7</v>
      </c>
      <c r="C51">
        <v>0.7</v>
      </c>
      <c r="D51">
        <v>0.9</v>
      </c>
    </row>
    <row r="52" spans="1:20" ht="13.5" thickBot="1">
      <c r="A52" s="5" t="s">
        <v>0</v>
      </c>
      <c r="B52" s="5">
        <v>0.3</v>
      </c>
      <c r="C52" s="5">
        <v>0.5</v>
      </c>
      <c r="D52" s="5">
        <v>0.7</v>
      </c>
      <c r="E52" s="5">
        <v>1</v>
      </c>
      <c r="F52" s="5">
        <v>1.2</v>
      </c>
      <c r="G52" s="5">
        <v>1.5</v>
      </c>
      <c r="H52" s="5">
        <v>1</v>
      </c>
      <c r="I52" s="5">
        <v>1.3</v>
      </c>
      <c r="J52" s="5">
        <v>1</v>
      </c>
      <c r="K52" s="5">
        <v>0.8</v>
      </c>
      <c r="L52" s="5">
        <v>0.6</v>
      </c>
      <c r="M52" s="23">
        <v>1.5</v>
      </c>
      <c r="N52" s="46">
        <v>2010</v>
      </c>
      <c r="O52" s="47" t="s">
        <v>91</v>
      </c>
      <c r="P52" s="10" t="s">
        <v>92</v>
      </c>
      <c r="Q52" s="10" t="s">
        <v>93</v>
      </c>
      <c r="R52" s="10" t="s">
        <v>94</v>
      </c>
      <c r="S52" s="10">
        <v>2011</v>
      </c>
      <c r="T52" s="48">
        <v>2012</v>
      </c>
    </row>
    <row r="53" spans="1:20" ht="12.75">
      <c r="A53" s="4" t="s">
        <v>1</v>
      </c>
      <c r="B53" s="3">
        <v>1</v>
      </c>
      <c r="C53" s="3">
        <v>2</v>
      </c>
      <c r="D53" s="3">
        <v>3</v>
      </c>
      <c r="E53" s="3">
        <v>4</v>
      </c>
      <c r="F53" s="3">
        <v>5</v>
      </c>
      <c r="G53" s="3">
        <v>6</v>
      </c>
      <c r="H53" s="3">
        <v>7</v>
      </c>
      <c r="I53" s="3">
        <v>8</v>
      </c>
      <c r="J53" s="3">
        <v>9</v>
      </c>
      <c r="K53" s="3">
        <v>10</v>
      </c>
      <c r="L53" s="3">
        <v>11</v>
      </c>
      <c r="M53" s="40">
        <v>12</v>
      </c>
      <c r="N53" s="5"/>
      <c r="O53" s="8"/>
      <c r="P53" s="8"/>
      <c r="Q53" s="8"/>
      <c r="R53" s="8"/>
      <c r="S53" s="8"/>
      <c r="T53" s="8"/>
    </row>
    <row r="54" spans="1:20" ht="12.75">
      <c r="A54" s="5" t="s">
        <v>2</v>
      </c>
      <c r="B54" s="19">
        <f>$D$23*B52</f>
        <v>52987.5</v>
      </c>
      <c r="C54" s="19">
        <f aca="true" t="shared" si="0" ref="C54:M54">$D$23*C52</f>
        <v>88312.5</v>
      </c>
      <c r="D54" s="19">
        <f t="shared" si="0"/>
        <v>123637.49999999999</v>
      </c>
      <c r="E54" s="19">
        <f t="shared" si="0"/>
        <v>176625</v>
      </c>
      <c r="F54" s="19">
        <f t="shared" si="0"/>
        <v>211950</v>
      </c>
      <c r="G54" s="19">
        <f t="shared" si="0"/>
        <v>264937.5</v>
      </c>
      <c r="H54" s="19">
        <f t="shared" si="0"/>
        <v>176625</v>
      </c>
      <c r="I54" s="19">
        <f t="shared" si="0"/>
        <v>229612.5</v>
      </c>
      <c r="J54" s="19">
        <f t="shared" si="0"/>
        <v>176625</v>
      </c>
      <c r="K54" s="19">
        <f t="shared" si="0"/>
        <v>141300</v>
      </c>
      <c r="L54" s="19">
        <f t="shared" si="0"/>
        <v>105975</v>
      </c>
      <c r="M54" s="41">
        <f t="shared" si="0"/>
        <v>264937.5</v>
      </c>
      <c r="N54" s="19">
        <f>SUM(B54:M54)</f>
        <v>2013525</v>
      </c>
      <c r="O54" s="19">
        <f>$D$23*D50*3</f>
        <v>406237.5</v>
      </c>
      <c r="P54" s="19">
        <f>J24*3*G50</f>
        <v>728437.5</v>
      </c>
      <c r="Q54" s="19">
        <f>J24*3*J50</f>
        <v>649687.4999999999</v>
      </c>
      <c r="R54" s="19">
        <f>J24*3*M50</f>
        <v>570937.5</v>
      </c>
      <c r="S54" s="5">
        <f>SUM(O54:R54)</f>
        <v>2355300</v>
      </c>
      <c r="T54" s="5">
        <f>S54*B12</f>
        <v>2473065</v>
      </c>
    </row>
    <row r="55" spans="1:20" ht="13.5" thickBot="1">
      <c r="A55" t="s">
        <v>81</v>
      </c>
      <c r="B55" s="7">
        <f>B6</f>
        <v>450000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42"/>
      <c r="N55" s="33">
        <f aca="true" t="shared" si="1" ref="N55:N69">SUM(B55:M55)</f>
        <v>450000</v>
      </c>
      <c r="O55" s="7"/>
      <c r="P55" s="7"/>
      <c r="Q55" s="33"/>
      <c r="R55" s="33"/>
      <c r="S55" s="7">
        <f aca="true" t="shared" si="2" ref="S55:S67">SUM(O55:R55)</f>
        <v>0</v>
      </c>
      <c r="T55" s="7">
        <f aca="true" t="shared" si="3" ref="T55:T67">S55</f>
        <v>0</v>
      </c>
    </row>
    <row r="56" spans="1:20" ht="13.5" thickBot="1">
      <c r="A56" s="9" t="s">
        <v>8</v>
      </c>
      <c r="B56" s="31">
        <f>SUM(B54:B55)</f>
        <v>502987.5</v>
      </c>
      <c r="C56" s="32">
        <f aca="true" t="shared" si="4" ref="C56:M56">SUM(C54:C55)</f>
        <v>88312.5</v>
      </c>
      <c r="D56" s="32">
        <f t="shared" si="4"/>
        <v>123637.49999999999</v>
      </c>
      <c r="E56" s="32">
        <f t="shared" si="4"/>
        <v>176625</v>
      </c>
      <c r="F56" s="32">
        <f t="shared" si="4"/>
        <v>211950</v>
      </c>
      <c r="G56" s="32">
        <f t="shared" si="4"/>
        <v>264937.5</v>
      </c>
      <c r="H56" s="32">
        <f t="shared" si="4"/>
        <v>176625</v>
      </c>
      <c r="I56" s="32">
        <f t="shared" si="4"/>
        <v>229612.5</v>
      </c>
      <c r="J56" s="32">
        <f t="shared" si="4"/>
        <v>176625</v>
      </c>
      <c r="K56" s="32">
        <f t="shared" si="4"/>
        <v>141300</v>
      </c>
      <c r="L56" s="43">
        <f t="shared" si="4"/>
        <v>105975</v>
      </c>
      <c r="M56" s="52">
        <f t="shared" si="4"/>
        <v>264937.5</v>
      </c>
      <c r="N56" s="43">
        <f t="shared" si="1"/>
        <v>2463525</v>
      </c>
      <c r="O56" s="31">
        <f>SUM(O54:O55)</f>
        <v>406237.5</v>
      </c>
      <c r="P56" s="31">
        <f>SUM(P54:P55)</f>
        <v>728437.5</v>
      </c>
      <c r="Q56" s="31">
        <f>SUM(Q54:Q55)</f>
        <v>649687.4999999999</v>
      </c>
      <c r="R56" s="52">
        <f>SUM(R54:R55)</f>
        <v>570937.5</v>
      </c>
      <c r="S56" s="55">
        <f t="shared" si="2"/>
        <v>2355300</v>
      </c>
      <c r="T56" s="55">
        <f>SUM(T54:T55)</f>
        <v>2473065</v>
      </c>
    </row>
    <row r="57" spans="1:20" ht="12.75">
      <c r="A57" s="1" t="s">
        <v>9</v>
      </c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6"/>
      <c r="N57" s="30">
        <f t="shared" si="1"/>
        <v>0</v>
      </c>
      <c r="O57" s="8"/>
      <c r="P57" s="8"/>
      <c r="Q57" s="8"/>
      <c r="R57" s="8"/>
      <c r="S57" s="8">
        <f t="shared" si="2"/>
        <v>0</v>
      </c>
      <c r="T57" s="8">
        <f t="shared" si="3"/>
        <v>0</v>
      </c>
    </row>
    <row r="58" spans="1:20" ht="12.75">
      <c r="A58" s="5" t="s">
        <v>10</v>
      </c>
      <c r="B58" s="30">
        <f>$D$33*B52</f>
        <v>6682.5</v>
      </c>
      <c r="C58" s="30">
        <f aca="true" t="shared" si="5" ref="C58:M58">$D$33*C52</f>
        <v>11137.5</v>
      </c>
      <c r="D58" s="30">
        <f t="shared" si="5"/>
        <v>15592.499999999998</v>
      </c>
      <c r="E58" s="30">
        <f t="shared" si="5"/>
        <v>22275</v>
      </c>
      <c r="F58" s="30">
        <f t="shared" si="5"/>
        <v>26730</v>
      </c>
      <c r="G58" s="30">
        <f t="shared" si="5"/>
        <v>33412.5</v>
      </c>
      <c r="H58" s="30">
        <f t="shared" si="5"/>
        <v>22275</v>
      </c>
      <c r="I58" s="30">
        <f t="shared" si="5"/>
        <v>28957.5</v>
      </c>
      <c r="J58" s="30">
        <f t="shared" si="5"/>
        <v>22275</v>
      </c>
      <c r="K58" s="30">
        <f t="shared" si="5"/>
        <v>17820</v>
      </c>
      <c r="L58" s="30">
        <f t="shared" si="5"/>
        <v>13365</v>
      </c>
      <c r="M58" s="44">
        <f t="shared" si="5"/>
        <v>33412.5</v>
      </c>
      <c r="N58" s="19">
        <f t="shared" si="1"/>
        <v>253935</v>
      </c>
      <c r="O58" s="19">
        <f>D33*3*D50</f>
        <v>51232.49999999999</v>
      </c>
      <c r="P58" s="19">
        <f>J34*3*G50</f>
        <v>90742.5</v>
      </c>
      <c r="Q58" s="19">
        <f>J34*3*J50</f>
        <v>80932.49999999999</v>
      </c>
      <c r="R58" s="19">
        <f>J34*3*M50</f>
        <v>71122.5</v>
      </c>
      <c r="S58" s="5">
        <f t="shared" si="2"/>
        <v>294030</v>
      </c>
      <c r="T58" s="19">
        <f>S58*B12</f>
        <v>308731.5</v>
      </c>
    </row>
    <row r="59" spans="1:20" ht="12.75">
      <c r="A59" s="5" t="s">
        <v>83</v>
      </c>
      <c r="B59" s="5">
        <v>300000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23"/>
      <c r="N59" s="19">
        <f t="shared" si="1"/>
        <v>300000</v>
      </c>
      <c r="O59" s="5"/>
      <c r="P59" s="5">
        <v>90000</v>
      </c>
      <c r="Q59" s="5"/>
      <c r="R59" s="5"/>
      <c r="S59" s="5">
        <f t="shared" si="2"/>
        <v>90000</v>
      </c>
      <c r="T59" s="5">
        <f t="shared" si="3"/>
        <v>90000</v>
      </c>
    </row>
    <row r="60" spans="1:20" ht="12.75">
      <c r="A60" s="5" t="s">
        <v>34</v>
      </c>
      <c r="B60" s="5">
        <v>50000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23"/>
      <c r="N60" s="19">
        <f t="shared" si="1"/>
        <v>50000</v>
      </c>
      <c r="O60" s="5"/>
      <c r="P60" s="5">
        <v>20000</v>
      </c>
      <c r="Q60" s="5"/>
      <c r="R60" s="5"/>
      <c r="S60" s="5">
        <f t="shared" si="2"/>
        <v>20000</v>
      </c>
      <c r="T60" s="5">
        <f t="shared" si="3"/>
        <v>20000</v>
      </c>
    </row>
    <row r="61" spans="1:20" ht="12.75">
      <c r="A61" s="5" t="s">
        <v>84</v>
      </c>
      <c r="B61" s="5">
        <v>50000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23"/>
      <c r="N61" s="19">
        <f t="shared" si="1"/>
        <v>50000</v>
      </c>
      <c r="O61" s="5">
        <v>40000</v>
      </c>
      <c r="P61" s="5"/>
      <c r="Q61" s="5"/>
      <c r="R61" s="5"/>
      <c r="S61" s="5">
        <f t="shared" si="2"/>
        <v>40000</v>
      </c>
      <c r="T61" s="5">
        <f t="shared" si="3"/>
        <v>40000</v>
      </c>
    </row>
    <row r="62" spans="1:20" ht="12.75">
      <c r="A62" s="5" t="s">
        <v>85</v>
      </c>
      <c r="B62" s="5">
        <f>$F$41</f>
        <v>77952</v>
      </c>
      <c r="C62" s="5">
        <f aca="true" t="shared" si="6" ref="C62:M62">$F$41</f>
        <v>77952</v>
      </c>
      <c r="D62" s="5">
        <f t="shared" si="6"/>
        <v>77952</v>
      </c>
      <c r="E62" s="5">
        <f t="shared" si="6"/>
        <v>77952</v>
      </c>
      <c r="F62" s="5">
        <f t="shared" si="6"/>
        <v>77952</v>
      </c>
      <c r="G62" s="5">
        <f t="shared" si="6"/>
        <v>77952</v>
      </c>
      <c r="H62" s="5">
        <f t="shared" si="6"/>
        <v>77952</v>
      </c>
      <c r="I62" s="5">
        <f t="shared" si="6"/>
        <v>77952</v>
      </c>
      <c r="J62" s="5">
        <f t="shared" si="6"/>
        <v>77952</v>
      </c>
      <c r="K62" s="5">
        <f t="shared" si="6"/>
        <v>77952</v>
      </c>
      <c r="L62" s="5">
        <f t="shared" si="6"/>
        <v>77952</v>
      </c>
      <c r="M62" s="23">
        <f t="shared" si="6"/>
        <v>77952</v>
      </c>
      <c r="N62" s="19">
        <f t="shared" si="1"/>
        <v>935424</v>
      </c>
      <c r="O62" s="5">
        <f>F41*3</f>
        <v>233856</v>
      </c>
      <c r="P62" s="5">
        <f>M42*3</f>
        <v>274176</v>
      </c>
      <c r="Q62" s="5">
        <f>$M$42*3</f>
        <v>274176</v>
      </c>
      <c r="R62" s="5">
        <f>$M$42*3</f>
        <v>274176</v>
      </c>
      <c r="S62" s="5">
        <f t="shared" si="2"/>
        <v>1056384</v>
      </c>
      <c r="T62" s="5">
        <f t="shared" si="3"/>
        <v>1056384</v>
      </c>
    </row>
    <row r="63" spans="1:20" ht="12.75">
      <c r="A63" s="27" t="s">
        <v>73</v>
      </c>
      <c r="B63" s="5">
        <f>$B$50</f>
        <v>9000</v>
      </c>
      <c r="C63" s="5">
        <f aca="true" t="shared" si="7" ref="C63:M63">$B$50</f>
        <v>9000</v>
      </c>
      <c r="D63" s="5">
        <f t="shared" si="7"/>
        <v>9000</v>
      </c>
      <c r="E63" s="5">
        <f t="shared" si="7"/>
        <v>9000</v>
      </c>
      <c r="F63" s="5">
        <f t="shared" si="7"/>
        <v>9000</v>
      </c>
      <c r="G63" s="5">
        <f t="shared" si="7"/>
        <v>9000</v>
      </c>
      <c r="H63" s="5">
        <f t="shared" si="7"/>
        <v>9000</v>
      </c>
      <c r="I63" s="5">
        <f t="shared" si="7"/>
        <v>9000</v>
      </c>
      <c r="J63" s="5">
        <f t="shared" si="7"/>
        <v>9000</v>
      </c>
      <c r="K63" s="5">
        <f t="shared" si="7"/>
        <v>9000</v>
      </c>
      <c r="L63" s="5">
        <f t="shared" si="7"/>
        <v>9000</v>
      </c>
      <c r="M63" s="23">
        <f t="shared" si="7"/>
        <v>9000</v>
      </c>
      <c r="N63" s="19">
        <f t="shared" si="1"/>
        <v>108000</v>
      </c>
      <c r="O63" s="5">
        <f>$B$50*3</f>
        <v>27000</v>
      </c>
      <c r="P63" s="5">
        <f>$B$50*3</f>
        <v>27000</v>
      </c>
      <c r="Q63" s="5">
        <f>$B$50*3</f>
        <v>27000</v>
      </c>
      <c r="R63" s="5">
        <f>$B$50*3</f>
        <v>27000</v>
      </c>
      <c r="S63" s="5">
        <f t="shared" si="2"/>
        <v>108000</v>
      </c>
      <c r="T63" s="5">
        <f t="shared" si="3"/>
        <v>108000</v>
      </c>
    </row>
    <row r="64" spans="1:20" ht="12.75">
      <c r="A64" s="5" t="s">
        <v>86</v>
      </c>
      <c r="B64" s="5">
        <f>$B$7</f>
        <v>3000</v>
      </c>
      <c r="C64" s="5">
        <f aca="true" t="shared" si="8" ref="C64:M64">$B$7</f>
        <v>3000</v>
      </c>
      <c r="D64" s="5">
        <f t="shared" si="8"/>
        <v>3000</v>
      </c>
      <c r="E64" s="5">
        <f t="shared" si="8"/>
        <v>3000</v>
      </c>
      <c r="F64" s="5">
        <v>25000</v>
      </c>
      <c r="G64" s="5">
        <f t="shared" si="8"/>
        <v>3000</v>
      </c>
      <c r="H64" s="5">
        <f t="shared" si="8"/>
        <v>3000</v>
      </c>
      <c r="I64" s="5">
        <f t="shared" si="8"/>
        <v>3000</v>
      </c>
      <c r="J64" s="5">
        <f t="shared" si="8"/>
        <v>3000</v>
      </c>
      <c r="K64" s="5">
        <f t="shared" si="8"/>
        <v>3000</v>
      </c>
      <c r="L64" s="5">
        <f t="shared" si="8"/>
        <v>3000</v>
      </c>
      <c r="M64" s="23">
        <f t="shared" si="8"/>
        <v>3000</v>
      </c>
      <c r="N64" s="19">
        <f t="shared" si="1"/>
        <v>58000</v>
      </c>
      <c r="O64" s="5">
        <f>$B$7*3</f>
        <v>9000</v>
      </c>
      <c r="P64" s="5">
        <f>$B$7*2+25000</f>
        <v>31000</v>
      </c>
      <c r="Q64" s="5">
        <f>$B$7*3</f>
        <v>9000</v>
      </c>
      <c r="R64" s="5">
        <f>$B$7*3</f>
        <v>9000</v>
      </c>
      <c r="S64" s="5">
        <f t="shared" si="2"/>
        <v>58000</v>
      </c>
      <c r="T64" s="5">
        <f t="shared" si="3"/>
        <v>58000</v>
      </c>
    </row>
    <row r="65" spans="1:20" ht="12.75">
      <c r="A65" s="5" t="s">
        <v>87</v>
      </c>
      <c r="B65" s="5">
        <f>$B$8</f>
        <v>20000</v>
      </c>
      <c r="C65" s="5">
        <f aca="true" t="shared" si="9" ref="C65:M65">$B$8</f>
        <v>20000</v>
      </c>
      <c r="D65" s="5">
        <f t="shared" si="9"/>
        <v>20000</v>
      </c>
      <c r="E65" s="5">
        <f t="shared" si="9"/>
        <v>20000</v>
      </c>
      <c r="F65" s="5">
        <f t="shared" si="9"/>
        <v>20000</v>
      </c>
      <c r="G65" s="5">
        <f t="shared" si="9"/>
        <v>20000</v>
      </c>
      <c r="H65" s="5">
        <f t="shared" si="9"/>
        <v>20000</v>
      </c>
      <c r="I65" s="5">
        <f t="shared" si="9"/>
        <v>20000</v>
      </c>
      <c r="J65" s="5">
        <f t="shared" si="9"/>
        <v>20000</v>
      </c>
      <c r="K65" s="5">
        <f t="shared" si="9"/>
        <v>20000</v>
      </c>
      <c r="L65" s="5">
        <f t="shared" si="9"/>
        <v>20000</v>
      </c>
      <c r="M65" s="23">
        <f t="shared" si="9"/>
        <v>20000</v>
      </c>
      <c r="N65" s="19">
        <f t="shared" si="1"/>
        <v>240000</v>
      </c>
      <c r="O65" s="5">
        <f>$B$8*3</f>
        <v>60000</v>
      </c>
      <c r="P65" s="5">
        <f>$B$8*3</f>
        <v>60000</v>
      </c>
      <c r="Q65" s="5">
        <f>$B$8*3</f>
        <v>60000</v>
      </c>
      <c r="R65" s="5">
        <f>$B$8*3</f>
        <v>60000</v>
      </c>
      <c r="S65" s="5">
        <f t="shared" si="2"/>
        <v>240000</v>
      </c>
      <c r="T65" s="5">
        <f t="shared" si="3"/>
        <v>240000</v>
      </c>
    </row>
    <row r="66" spans="1:20" ht="12.75">
      <c r="A66" s="5" t="s">
        <v>88</v>
      </c>
      <c r="B66" s="19">
        <f>$B$9</f>
        <v>9375</v>
      </c>
      <c r="C66" s="19">
        <f aca="true" t="shared" si="10" ref="C66:M66">$B$9</f>
        <v>9375</v>
      </c>
      <c r="D66" s="19">
        <f t="shared" si="10"/>
        <v>9375</v>
      </c>
      <c r="E66" s="19">
        <f t="shared" si="10"/>
        <v>9375</v>
      </c>
      <c r="F66" s="19">
        <f t="shared" si="10"/>
        <v>9375</v>
      </c>
      <c r="G66" s="19">
        <f t="shared" si="10"/>
        <v>9375</v>
      </c>
      <c r="H66" s="19">
        <f t="shared" si="10"/>
        <v>9375</v>
      </c>
      <c r="I66" s="19">
        <f t="shared" si="10"/>
        <v>9375</v>
      </c>
      <c r="J66" s="19">
        <f t="shared" si="10"/>
        <v>9375</v>
      </c>
      <c r="K66" s="19">
        <f t="shared" si="10"/>
        <v>9375</v>
      </c>
      <c r="L66" s="19">
        <f t="shared" si="10"/>
        <v>9375</v>
      </c>
      <c r="M66" s="41">
        <f t="shared" si="10"/>
        <v>9375</v>
      </c>
      <c r="N66" s="19">
        <f t="shared" si="1"/>
        <v>112500</v>
      </c>
      <c r="O66" s="5">
        <f>$B$9*3</f>
        <v>28125</v>
      </c>
      <c r="P66" s="5">
        <f>$B$9*3</f>
        <v>28125</v>
      </c>
      <c r="Q66" s="5">
        <f>$B$9*3</f>
        <v>28125</v>
      </c>
      <c r="R66" s="5">
        <f>$B$9*3</f>
        <v>28125</v>
      </c>
      <c r="S66" s="5">
        <f t="shared" si="2"/>
        <v>112500</v>
      </c>
      <c r="T66" s="5">
        <f t="shared" si="3"/>
        <v>112500</v>
      </c>
    </row>
    <row r="67" spans="1:20" ht="12.75">
      <c r="A67" s="7" t="s">
        <v>89</v>
      </c>
      <c r="B67" s="33">
        <f>$B$10</f>
        <v>1875</v>
      </c>
      <c r="C67" s="33">
        <f aca="true" t="shared" si="11" ref="C67:M67">$B$10</f>
        <v>1875</v>
      </c>
      <c r="D67" s="33">
        <f t="shared" si="11"/>
        <v>1875</v>
      </c>
      <c r="E67" s="33">
        <f t="shared" si="11"/>
        <v>1875</v>
      </c>
      <c r="F67" s="33">
        <f t="shared" si="11"/>
        <v>1875</v>
      </c>
      <c r="G67" s="33">
        <f t="shared" si="11"/>
        <v>1875</v>
      </c>
      <c r="H67" s="33">
        <f t="shared" si="11"/>
        <v>1875</v>
      </c>
      <c r="I67" s="33">
        <f t="shared" si="11"/>
        <v>1875</v>
      </c>
      <c r="J67" s="33">
        <f t="shared" si="11"/>
        <v>1875</v>
      </c>
      <c r="K67" s="33">
        <f t="shared" si="11"/>
        <v>1875</v>
      </c>
      <c r="L67" s="33">
        <f t="shared" si="11"/>
        <v>1875</v>
      </c>
      <c r="M67" s="45">
        <f t="shared" si="11"/>
        <v>1875</v>
      </c>
      <c r="N67" s="19">
        <f t="shared" si="1"/>
        <v>22500</v>
      </c>
      <c r="O67" s="33">
        <f>$C$10*3</f>
        <v>4218.75</v>
      </c>
      <c r="P67" s="33">
        <f>$C$10*3</f>
        <v>4218.75</v>
      </c>
      <c r="Q67" s="33">
        <f>$C$10*3</f>
        <v>4218.75</v>
      </c>
      <c r="R67" s="33">
        <f>$C$10*3</f>
        <v>4218.75</v>
      </c>
      <c r="S67" s="7">
        <f t="shared" si="2"/>
        <v>16875</v>
      </c>
      <c r="T67" s="5">
        <f t="shared" si="3"/>
        <v>16875</v>
      </c>
    </row>
    <row r="68" spans="1:20" ht="13.5" thickBot="1">
      <c r="A68" s="11" t="s">
        <v>103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8"/>
      <c r="N68" s="41"/>
      <c r="O68" s="59"/>
      <c r="P68" s="59"/>
      <c r="Q68" s="59"/>
      <c r="R68" s="59"/>
      <c r="S68" s="56"/>
      <c r="T68" s="7">
        <v>500000</v>
      </c>
    </row>
    <row r="69" spans="1:20" ht="13.5" thickBot="1">
      <c r="A69" s="37" t="s">
        <v>19</v>
      </c>
      <c r="B69" s="38">
        <f>SUM(B57:B67)</f>
        <v>527884.5</v>
      </c>
      <c r="C69" s="38">
        <f aca="true" t="shared" si="12" ref="C69:M69">SUM(C57:C67)</f>
        <v>132339.5</v>
      </c>
      <c r="D69" s="38">
        <f t="shared" si="12"/>
        <v>136794.5</v>
      </c>
      <c r="E69" s="38">
        <f t="shared" si="12"/>
        <v>143477</v>
      </c>
      <c r="F69" s="38">
        <f t="shared" si="12"/>
        <v>169932</v>
      </c>
      <c r="G69" s="38">
        <f t="shared" si="12"/>
        <v>154614.5</v>
      </c>
      <c r="H69" s="38">
        <f t="shared" si="12"/>
        <v>143477</v>
      </c>
      <c r="I69" s="38">
        <f t="shared" si="12"/>
        <v>150159.5</v>
      </c>
      <c r="J69" s="38">
        <f t="shared" si="12"/>
        <v>143477</v>
      </c>
      <c r="K69" s="38">
        <f t="shared" si="12"/>
        <v>139022</v>
      </c>
      <c r="L69" s="38">
        <f t="shared" si="12"/>
        <v>134567</v>
      </c>
      <c r="M69" s="38">
        <f t="shared" si="12"/>
        <v>154614.5</v>
      </c>
      <c r="N69" s="49">
        <f t="shared" si="1"/>
        <v>2130359</v>
      </c>
      <c r="O69" s="31">
        <f>SUM(O57:O67)</f>
        <v>453432.25</v>
      </c>
      <c r="P69" s="31">
        <f>SUM(P57:P67)</f>
        <v>625262.25</v>
      </c>
      <c r="Q69" s="47">
        <f>SUM(Q57:Q67)</f>
        <v>483452.25</v>
      </c>
      <c r="R69" s="31">
        <f>SUM(R57:R67)</f>
        <v>473642.25</v>
      </c>
      <c r="S69" s="55">
        <f>SUM(O69:R69)</f>
        <v>2035789</v>
      </c>
      <c r="T69" s="55">
        <f>SUM(T57:T68)</f>
        <v>2550490.5</v>
      </c>
    </row>
    <row r="70" spans="1:20" ht="12.75">
      <c r="A70" s="5" t="s">
        <v>20</v>
      </c>
      <c r="B70" s="19">
        <f aca="true" t="shared" si="13" ref="B70:M70">B56-B69</f>
        <v>-24897</v>
      </c>
      <c r="C70" s="19">
        <f t="shared" si="13"/>
        <v>-44027</v>
      </c>
      <c r="D70" s="19">
        <f t="shared" si="13"/>
        <v>-13157.000000000015</v>
      </c>
      <c r="E70" s="19">
        <f t="shared" si="13"/>
        <v>33148</v>
      </c>
      <c r="F70" s="19">
        <f t="shared" si="13"/>
        <v>42018</v>
      </c>
      <c r="G70" s="19">
        <f t="shared" si="13"/>
        <v>110323</v>
      </c>
      <c r="H70" s="19">
        <f t="shared" si="13"/>
        <v>33148</v>
      </c>
      <c r="I70" s="19">
        <f t="shared" si="13"/>
        <v>79453</v>
      </c>
      <c r="J70" s="19">
        <f t="shared" si="13"/>
        <v>33148</v>
      </c>
      <c r="K70" s="19">
        <f t="shared" si="13"/>
        <v>2278</v>
      </c>
      <c r="L70" s="19">
        <f t="shared" si="13"/>
        <v>-28592</v>
      </c>
      <c r="M70" s="41">
        <f t="shared" si="13"/>
        <v>110323</v>
      </c>
      <c r="N70" s="19">
        <f>SUM(B70:M70)</f>
        <v>333166</v>
      </c>
      <c r="O70" s="30">
        <f aca="true" t="shared" si="14" ref="O70:T70">O56-O69</f>
        <v>-47194.75</v>
      </c>
      <c r="P70" s="30">
        <f t="shared" si="14"/>
        <v>103175.25</v>
      </c>
      <c r="Q70" s="30">
        <f t="shared" si="14"/>
        <v>166235.24999999988</v>
      </c>
      <c r="R70" s="30">
        <f t="shared" si="14"/>
        <v>97295.25</v>
      </c>
      <c r="S70" s="30">
        <f t="shared" si="14"/>
        <v>319511</v>
      </c>
      <c r="T70" s="8">
        <f t="shared" si="14"/>
        <v>-77425.5</v>
      </c>
    </row>
    <row r="71" spans="1:20" ht="12.75">
      <c r="A71" s="5" t="s">
        <v>21</v>
      </c>
      <c r="B71" s="5">
        <v>40000</v>
      </c>
      <c r="C71" s="19">
        <f>B72</f>
        <v>15103</v>
      </c>
      <c r="D71" s="19">
        <f aca="true" t="shared" si="15" ref="D71:M71">C72</f>
        <v>-28924</v>
      </c>
      <c r="E71" s="19">
        <f t="shared" si="15"/>
        <v>-42081.000000000015</v>
      </c>
      <c r="F71" s="19">
        <f t="shared" si="15"/>
        <v>-8933.000000000015</v>
      </c>
      <c r="G71" s="19">
        <f t="shared" si="15"/>
        <v>33084.999999999985</v>
      </c>
      <c r="H71" s="19">
        <f t="shared" si="15"/>
        <v>143408</v>
      </c>
      <c r="I71" s="19">
        <f t="shared" si="15"/>
        <v>176556</v>
      </c>
      <c r="J71" s="19">
        <f t="shared" si="15"/>
        <v>256009</v>
      </c>
      <c r="K71" s="19">
        <f t="shared" si="15"/>
        <v>289157</v>
      </c>
      <c r="L71" s="19">
        <f t="shared" si="15"/>
        <v>291435</v>
      </c>
      <c r="M71" s="41">
        <f t="shared" si="15"/>
        <v>262843</v>
      </c>
      <c r="N71" s="54"/>
      <c r="O71" s="19">
        <f>M72</f>
        <v>373166</v>
      </c>
      <c r="P71" s="19">
        <f>O72</f>
        <v>325971.25</v>
      </c>
      <c r="Q71" s="19">
        <f>P72</f>
        <v>429146.5</v>
      </c>
      <c r="R71" s="19">
        <f>Q72</f>
        <v>595381.7499999999</v>
      </c>
      <c r="S71" s="5"/>
      <c r="T71" s="19">
        <f>R72</f>
        <v>692676.9999999999</v>
      </c>
    </row>
    <row r="72" spans="1:20" ht="12.75">
      <c r="A72" s="5" t="s">
        <v>22</v>
      </c>
      <c r="B72" s="19">
        <f>SUM(B70:B71)</f>
        <v>15103</v>
      </c>
      <c r="C72" s="19">
        <f>SUM(C70:C71)</f>
        <v>-28924</v>
      </c>
      <c r="D72" s="19">
        <f aca="true" t="shared" si="16" ref="D72:M72">SUM(D70:D71)</f>
        <v>-42081.000000000015</v>
      </c>
      <c r="E72" s="19">
        <f t="shared" si="16"/>
        <v>-8933.000000000015</v>
      </c>
      <c r="F72" s="19">
        <f t="shared" si="16"/>
        <v>33084.999999999985</v>
      </c>
      <c r="G72" s="19">
        <f t="shared" si="16"/>
        <v>143408</v>
      </c>
      <c r="H72" s="19">
        <f t="shared" si="16"/>
        <v>176556</v>
      </c>
      <c r="I72" s="19">
        <f t="shared" si="16"/>
        <v>256009</v>
      </c>
      <c r="J72" s="19">
        <f t="shared" si="16"/>
        <v>289157</v>
      </c>
      <c r="K72" s="19">
        <f t="shared" si="16"/>
        <v>291435</v>
      </c>
      <c r="L72" s="19">
        <f t="shared" si="16"/>
        <v>262843</v>
      </c>
      <c r="M72" s="41">
        <f t="shared" si="16"/>
        <v>373166</v>
      </c>
      <c r="N72" s="54"/>
      <c r="O72" s="19">
        <f>SUM(O70:O71)</f>
        <v>325971.25</v>
      </c>
      <c r="P72" s="19">
        <f>SUM(P70:P71)</f>
        <v>429146.5</v>
      </c>
      <c r="Q72" s="19">
        <f>SUM(Q70:Q71)</f>
        <v>595381.7499999999</v>
      </c>
      <c r="R72" s="19">
        <f>SUM(R70:R71)</f>
        <v>692676.9999999999</v>
      </c>
      <c r="S72" s="5"/>
      <c r="T72" s="19">
        <f>SUM(T70:T71)</f>
        <v>615251.4999999999</v>
      </c>
    </row>
    <row r="74" spans="1:4" ht="12.75">
      <c r="A74" s="15" t="s">
        <v>23</v>
      </c>
      <c r="B74" s="3">
        <v>2010</v>
      </c>
      <c r="C74" s="3">
        <v>2011</v>
      </c>
      <c r="D74" s="3">
        <v>2012</v>
      </c>
    </row>
    <row r="75" spans="1:4" ht="12.75">
      <c r="A75" s="5" t="s">
        <v>58</v>
      </c>
      <c r="B75" s="19">
        <f>N54</f>
        <v>2013525</v>
      </c>
      <c r="C75" s="5">
        <f>S54</f>
        <v>2355300</v>
      </c>
      <c r="D75" s="5">
        <f>T54</f>
        <v>2473065</v>
      </c>
    </row>
    <row r="76" spans="1:4" ht="12.75">
      <c r="A76" s="5" t="s">
        <v>10</v>
      </c>
      <c r="B76" s="19">
        <f>N58</f>
        <v>253935</v>
      </c>
      <c r="C76" s="5">
        <f>S58</f>
        <v>294030</v>
      </c>
      <c r="D76" s="19">
        <f>T58</f>
        <v>308731.5</v>
      </c>
    </row>
    <row r="77" spans="1:4" ht="12.75">
      <c r="A77" s="5" t="s">
        <v>84</v>
      </c>
      <c r="B77" s="19">
        <f>N61</f>
        <v>50000</v>
      </c>
      <c r="C77" s="5">
        <f aca="true" t="shared" si="17" ref="C77:D81">S61</f>
        <v>40000</v>
      </c>
      <c r="D77" s="5">
        <f t="shared" si="17"/>
        <v>40000</v>
      </c>
    </row>
    <row r="78" spans="1:4" ht="12.75">
      <c r="A78" s="5" t="s">
        <v>85</v>
      </c>
      <c r="B78" s="19">
        <f>N62</f>
        <v>935424</v>
      </c>
      <c r="C78" s="5">
        <f t="shared" si="17"/>
        <v>1056384</v>
      </c>
      <c r="D78" s="5">
        <f t="shared" si="17"/>
        <v>1056384</v>
      </c>
    </row>
    <row r="79" spans="1:4" ht="12.75">
      <c r="A79" s="27" t="s">
        <v>73</v>
      </c>
      <c r="B79" s="19">
        <f>N63</f>
        <v>108000</v>
      </c>
      <c r="C79" s="5">
        <f t="shared" si="17"/>
        <v>108000</v>
      </c>
      <c r="D79" s="5">
        <f t="shared" si="17"/>
        <v>108000</v>
      </c>
    </row>
    <row r="80" spans="1:4" ht="12.75">
      <c r="A80" s="5" t="s">
        <v>86</v>
      </c>
      <c r="B80" s="19">
        <f>N64</f>
        <v>58000</v>
      </c>
      <c r="C80" s="5">
        <f t="shared" si="17"/>
        <v>58000</v>
      </c>
      <c r="D80" s="5">
        <f t="shared" si="17"/>
        <v>58000</v>
      </c>
    </row>
    <row r="81" spans="1:4" ht="12.75">
      <c r="A81" s="5" t="s">
        <v>87</v>
      </c>
      <c r="B81" s="19">
        <f>N65</f>
        <v>240000</v>
      </c>
      <c r="C81" s="5">
        <f t="shared" si="17"/>
        <v>240000</v>
      </c>
      <c r="D81" s="5">
        <f t="shared" si="17"/>
        <v>240000</v>
      </c>
    </row>
    <row r="82" spans="1:4" ht="12.75">
      <c r="A82" s="5" t="s">
        <v>89</v>
      </c>
      <c r="B82" s="19">
        <f>N67</f>
        <v>22500</v>
      </c>
      <c r="C82" s="5">
        <f>S67</f>
        <v>16875</v>
      </c>
      <c r="D82" s="5">
        <f>T67</f>
        <v>16875</v>
      </c>
    </row>
    <row r="83" spans="1:4" ht="13.5" thickBot="1">
      <c r="A83" s="5" t="s">
        <v>90</v>
      </c>
      <c r="B83" s="7">
        <f>B59*B11</f>
        <v>60000</v>
      </c>
      <c r="C83" s="7">
        <f>C92*B11</f>
        <v>78000</v>
      </c>
      <c r="D83" s="7">
        <f>D92*B11</f>
        <v>96000</v>
      </c>
    </row>
    <row r="84" spans="1:4" ht="13.5" thickBot="1">
      <c r="A84" s="40" t="s">
        <v>29</v>
      </c>
      <c r="B84" s="31">
        <f>SUM(B76:B83)</f>
        <v>1727859</v>
      </c>
      <c r="C84" s="10">
        <f>SUM(C76:C83)</f>
        <v>1891289</v>
      </c>
      <c r="D84" s="10">
        <f>SUM(D76:D83)</f>
        <v>1923990.5</v>
      </c>
    </row>
    <row r="85" spans="1:4" ht="12.75">
      <c r="A85" s="26" t="s">
        <v>30</v>
      </c>
      <c r="B85" s="30">
        <f>B75-B84</f>
        <v>285666</v>
      </c>
      <c r="C85" s="30">
        <f>C75-C84</f>
        <v>464011</v>
      </c>
      <c r="D85" s="30">
        <f>D75-D84</f>
        <v>549074.5</v>
      </c>
    </row>
    <row r="87" spans="1:4" ht="12.75">
      <c r="A87" s="15" t="s">
        <v>31</v>
      </c>
      <c r="B87" s="3">
        <v>2010</v>
      </c>
      <c r="C87" s="3">
        <v>2011</v>
      </c>
      <c r="D87" s="3">
        <v>2012</v>
      </c>
    </row>
    <row r="88" spans="1:4" ht="12.75">
      <c r="A88" s="16" t="s">
        <v>32</v>
      </c>
      <c r="B88" s="5"/>
      <c r="C88" s="5"/>
      <c r="D88" s="5"/>
    </row>
    <row r="89" spans="1:4" ht="12.75">
      <c r="A89" s="5" t="s">
        <v>33</v>
      </c>
      <c r="B89" s="19">
        <f>M72</f>
        <v>373166</v>
      </c>
      <c r="C89" s="19">
        <f>R72</f>
        <v>692676.9999999999</v>
      </c>
      <c r="D89" s="19">
        <f>T72</f>
        <v>615251.4999999999</v>
      </c>
    </row>
    <row r="90" spans="1:4" ht="12.75">
      <c r="A90" s="5" t="s">
        <v>34</v>
      </c>
      <c r="B90" s="5">
        <f>B60</f>
        <v>50000</v>
      </c>
      <c r="C90" s="19">
        <f>B90+S60</f>
        <v>70000</v>
      </c>
      <c r="D90" s="19">
        <f>C90+T60</f>
        <v>90000</v>
      </c>
    </row>
    <row r="91" spans="1:4" ht="12.75">
      <c r="A91" s="4" t="s">
        <v>35</v>
      </c>
      <c r="B91" s="20">
        <f>SUM(B89:B90)</f>
        <v>423166</v>
      </c>
      <c r="C91" s="20">
        <f>SUM(C89:C90)</f>
        <v>762676.9999999999</v>
      </c>
      <c r="D91" s="20">
        <f>SUM(D89:D90)</f>
        <v>705251.4999999999</v>
      </c>
    </row>
    <row r="92" spans="1:4" ht="12.75">
      <c r="A92" s="5" t="s">
        <v>36</v>
      </c>
      <c r="B92" s="5">
        <f>B59</f>
        <v>300000</v>
      </c>
      <c r="C92" s="5">
        <f>B92+P59</f>
        <v>390000</v>
      </c>
      <c r="D92" s="5">
        <f>C92+T59</f>
        <v>480000</v>
      </c>
    </row>
    <row r="93" spans="1:4" ht="12.75">
      <c r="A93" s="5" t="s">
        <v>27</v>
      </c>
      <c r="B93" s="5">
        <f>-B83</f>
        <v>-60000</v>
      </c>
      <c r="C93" s="5">
        <f>B93-C83</f>
        <v>-138000</v>
      </c>
      <c r="D93" s="5">
        <f>C93-D83</f>
        <v>-234000</v>
      </c>
    </row>
    <row r="94" spans="1:4" ht="12.75">
      <c r="A94" s="4" t="s">
        <v>37</v>
      </c>
      <c r="B94" s="3">
        <f>SUM(B92:B93)</f>
        <v>240000</v>
      </c>
      <c r="C94" s="3">
        <f>SUM(C92:C93)</f>
        <v>252000</v>
      </c>
      <c r="D94" s="3">
        <f>SUM(D92:D93)</f>
        <v>246000</v>
      </c>
    </row>
    <row r="95" spans="1:4" ht="12.75">
      <c r="A95" s="3" t="s">
        <v>38</v>
      </c>
      <c r="B95" s="20">
        <f>B91+B94</f>
        <v>663166</v>
      </c>
      <c r="C95" s="20">
        <f>C91+C94</f>
        <v>1014676.9999999999</v>
      </c>
      <c r="D95" s="20">
        <f>D91+D94</f>
        <v>951251.4999999999</v>
      </c>
    </row>
    <row r="96" spans="1:4" ht="12.75">
      <c r="A96" s="16" t="s">
        <v>39</v>
      </c>
      <c r="B96" s="5"/>
      <c r="C96" s="5"/>
      <c r="D96" s="5"/>
    </row>
    <row r="97" spans="1:4" ht="12.75">
      <c r="A97" s="5"/>
      <c r="B97" s="5"/>
      <c r="C97" s="5"/>
      <c r="D97" s="5"/>
    </row>
    <row r="98" spans="1:4" ht="12.75">
      <c r="A98" s="5" t="s">
        <v>82</v>
      </c>
      <c r="B98" s="19">
        <f>B6-N66</f>
        <v>337500</v>
      </c>
      <c r="C98" s="19">
        <f>B98-S66</f>
        <v>225000</v>
      </c>
      <c r="D98" s="19">
        <f>C98-T66</f>
        <v>112500</v>
      </c>
    </row>
    <row r="99" spans="1:4" ht="12.75">
      <c r="A99" s="5" t="s">
        <v>42</v>
      </c>
      <c r="B99" s="5">
        <v>40000</v>
      </c>
      <c r="C99" s="5">
        <f>B99</f>
        <v>40000</v>
      </c>
      <c r="D99" s="5">
        <f>C99</f>
        <v>40000</v>
      </c>
    </row>
    <row r="100" spans="1:4" ht="12.75">
      <c r="A100" s="5" t="s">
        <v>43</v>
      </c>
      <c r="B100" s="19">
        <f>B85</f>
        <v>285666</v>
      </c>
      <c r="C100" s="19">
        <f>C85</f>
        <v>464011</v>
      </c>
      <c r="D100" s="19">
        <f>D85</f>
        <v>549074.5</v>
      </c>
    </row>
    <row r="101" spans="1:4" ht="12.75">
      <c r="A101" s="5" t="s">
        <v>44</v>
      </c>
      <c r="B101" s="5">
        <v>0</v>
      </c>
      <c r="C101" s="19">
        <f>B85</f>
        <v>285666</v>
      </c>
      <c r="D101" s="19">
        <f>C101+C100-T68</f>
        <v>249677</v>
      </c>
    </row>
    <row r="102" spans="1:4" ht="12.75">
      <c r="A102" s="3" t="s">
        <v>45</v>
      </c>
      <c r="B102" s="20">
        <f>SUM(B98:B101)</f>
        <v>663166</v>
      </c>
      <c r="C102" s="20">
        <f>SUM(C98:C101)</f>
        <v>1014677</v>
      </c>
      <c r="D102" s="20">
        <f>SUM(D98:D101)</f>
        <v>951251.5</v>
      </c>
    </row>
    <row r="103" spans="2:4" ht="12.75">
      <c r="B103" s="39">
        <f>B95-B102</f>
        <v>0</v>
      </c>
      <c r="C103" s="39">
        <f>C95-C102</f>
        <v>0</v>
      </c>
      <c r="D103" s="39">
        <f>D95-D102</f>
        <v>0</v>
      </c>
    </row>
  </sheetData>
  <printOptions/>
  <pageMargins left="0.75" right="0.75" top="1" bottom="1" header="0.5" footer="0.5"/>
  <pageSetup horizontalDpi="600" verticalDpi="600" orientation="portrait" paperSize="9" r:id="rId1"/>
  <ignoredErrors>
    <ignoredError sqref="P64 T5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104"/>
  <sheetViews>
    <sheetView tabSelected="1" zoomScale="160" zoomScaleNormal="160" workbookViewId="0" topLeftCell="A52">
      <pane xSplit="1" topLeftCell="L1" activePane="topRight" state="frozen"/>
      <selection pane="topLeft" activeCell="A48" sqref="A48"/>
      <selection pane="topRight" activeCell="B13" sqref="B13"/>
    </sheetView>
  </sheetViews>
  <sheetFormatPr defaultColWidth="9.140625" defaultRowHeight="12.75"/>
  <cols>
    <col min="1" max="1" width="24.00390625" style="0" customWidth="1"/>
    <col min="3" max="3" width="9.8515625" style="0" customWidth="1"/>
    <col min="4" max="4" width="8.8515625" style="0" customWidth="1"/>
    <col min="16" max="16" width="11.8515625" style="0" customWidth="1"/>
  </cols>
  <sheetData>
    <row r="1" ht="12.75">
      <c r="A1" t="s">
        <v>54</v>
      </c>
    </row>
    <row r="2" spans="1:5" ht="12.75">
      <c r="A2" s="5" t="s">
        <v>55</v>
      </c>
      <c r="B2" s="5">
        <v>22</v>
      </c>
      <c r="D2" t="s">
        <v>104</v>
      </c>
      <c r="E2">
        <v>89</v>
      </c>
    </row>
    <row r="3" spans="1:5" ht="12.75">
      <c r="A3" s="5" t="s">
        <v>63</v>
      </c>
      <c r="B3" s="5">
        <v>300</v>
      </c>
      <c r="D3" t="s">
        <v>105</v>
      </c>
      <c r="E3">
        <v>7</v>
      </c>
    </row>
    <row r="4" spans="1:5" ht="12.75">
      <c r="A4" s="29" t="s">
        <v>66</v>
      </c>
      <c r="B4" s="5">
        <v>0.33</v>
      </c>
      <c r="D4" t="s">
        <v>106</v>
      </c>
      <c r="E4">
        <f>E2*E3</f>
        <v>623</v>
      </c>
    </row>
    <row r="5" spans="1:5" ht="12.75">
      <c r="A5" s="29" t="s">
        <v>67</v>
      </c>
      <c r="B5" s="5">
        <v>0.014</v>
      </c>
      <c r="D5" s="5" t="s">
        <v>107</v>
      </c>
      <c r="E5">
        <v>0.2</v>
      </c>
    </row>
    <row r="6" spans="1:5" ht="12.75">
      <c r="A6" s="5" t="s">
        <v>116</v>
      </c>
      <c r="B6" s="5">
        <v>2000000</v>
      </c>
      <c r="D6" s="5" t="s">
        <v>108</v>
      </c>
      <c r="E6">
        <v>0.5</v>
      </c>
    </row>
    <row r="7" spans="1:5" ht="12.75">
      <c r="A7" s="5" t="s">
        <v>86</v>
      </c>
      <c r="B7" s="5">
        <v>5000</v>
      </c>
      <c r="D7" s="5" t="s">
        <v>109</v>
      </c>
      <c r="E7">
        <v>0.3</v>
      </c>
    </row>
    <row r="8" spans="1:2" ht="12.75">
      <c r="A8" s="26" t="s">
        <v>87</v>
      </c>
      <c r="B8" s="5">
        <v>35000</v>
      </c>
    </row>
    <row r="9" spans="1:2" ht="12.75">
      <c r="A9" s="5" t="s">
        <v>88</v>
      </c>
      <c r="B9" s="19">
        <f>B6/10/12</f>
        <v>16666.666666666668</v>
      </c>
    </row>
    <row r="10" spans="1:3" ht="12.75">
      <c r="A10" s="5" t="s">
        <v>89</v>
      </c>
      <c r="B10" s="19">
        <f>B6*0.05/12</f>
        <v>8333.333333333334</v>
      </c>
      <c r="C10" s="53"/>
    </row>
    <row r="11" spans="1:2" ht="12.75">
      <c r="A11" s="5" t="s">
        <v>28</v>
      </c>
      <c r="B11" s="18">
        <v>0.1</v>
      </c>
    </row>
    <row r="12" spans="1:2" ht="12.75">
      <c r="A12" s="5" t="s">
        <v>102</v>
      </c>
      <c r="B12" s="5">
        <v>1.05</v>
      </c>
    </row>
    <row r="15" spans="1:7" ht="12.75">
      <c r="A15" t="s">
        <v>98</v>
      </c>
      <c r="G15" t="s">
        <v>99</v>
      </c>
    </row>
    <row r="16" spans="1:10" ht="12.75">
      <c r="A16" s="3" t="s">
        <v>47</v>
      </c>
      <c r="B16" s="3" t="s">
        <v>48</v>
      </c>
      <c r="C16" s="3" t="s">
        <v>50</v>
      </c>
      <c r="D16" s="3" t="s">
        <v>49</v>
      </c>
      <c r="G16" s="3" t="s">
        <v>47</v>
      </c>
      <c r="H16" s="3" t="s">
        <v>48</v>
      </c>
      <c r="I16" s="3" t="s">
        <v>50</v>
      </c>
      <c r="J16" s="3" t="s">
        <v>49</v>
      </c>
    </row>
    <row r="17" spans="1:10" ht="12.75">
      <c r="A17" s="5" t="s">
        <v>107</v>
      </c>
      <c r="B17" s="5">
        <v>20</v>
      </c>
      <c r="C17" s="19">
        <f>$E$4*E5</f>
        <v>124.60000000000001</v>
      </c>
      <c r="D17" s="5">
        <f>B17*C17*$B$2</f>
        <v>54824</v>
      </c>
      <c r="G17" s="5"/>
      <c r="H17" s="5"/>
      <c r="I17" s="5">
        <v>12</v>
      </c>
      <c r="J17" s="5">
        <f>H17*I17*$B$2</f>
        <v>0</v>
      </c>
    </row>
    <row r="18" spans="1:10" ht="12.75">
      <c r="A18" s="5" t="s">
        <v>108</v>
      </c>
      <c r="B18" s="5">
        <v>45</v>
      </c>
      <c r="C18" s="19">
        <f>$E$4*E6</f>
        <v>311.5</v>
      </c>
      <c r="D18" s="5">
        <f>B18*C18*$B$2</f>
        <v>308385</v>
      </c>
      <c r="G18" s="5"/>
      <c r="H18" s="5"/>
      <c r="I18" s="5">
        <v>5</v>
      </c>
      <c r="J18" s="5">
        <f>H18*I18*$B$2</f>
        <v>0</v>
      </c>
    </row>
    <row r="19" spans="1:10" ht="12.75">
      <c r="A19" s="5" t="s">
        <v>109</v>
      </c>
      <c r="B19" s="5">
        <v>15</v>
      </c>
      <c r="C19" s="19">
        <f>$E$4*E7</f>
        <v>186.9</v>
      </c>
      <c r="D19" s="5">
        <f>B19*C19*$B$2</f>
        <v>61677</v>
      </c>
      <c r="G19" s="5"/>
      <c r="H19" s="5"/>
      <c r="I19" s="5">
        <v>3</v>
      </c>
      <c r="J19" s="5">
        <f>H19*I19*$B$2</f>
        <v>0</v>
      </c>
    </row>
    <row r="20" spans="1:10" ht="12.75">
      <c r="A20" s="5"/>
      <c r="B20" s="5"/>
      <c r="C20" s="5"/>
      <c r="D20" s="5">
        <f>B20*C20*$B$2</f>
        <v>0</v>
      </c>
      <c r="G20" s="5"/>
      <c r="H20" s="5"/>
      <c r="I20" s="5">
        <v>2</v>
      </c>
      <c r="J20" s="5">
        <f>H20*I20*$B$2</f>
        <v>0</v>
      </c>
    </row>
    <row r="21" spans="1:10" ht="12.75">
      <c r="A21" s="5"/>
      <c r="B21" s="5"/>
      <c r="C21" s="5" t="s">
        <v>56</v>
      </c>
      <c r="D21" s="3">
        <f>SUM(D17:D20)</f>
        <v>424886</v>
      </c>
      <c r="G21" s="5"/>
      <c r="H21" s="5"/>
      <c r="I21" s="11">
        <v>2</v>
      </c>
      <c r="J21" s="11">
        <f>H21*I21*$B$2</f>
        <v>0</v>
      </c>
    </row>
    <row r="22" spans="1:10" ht="12.75">
      <c r="A22" s="5"/>
      <c r="B22" s="5"/>
      <c r="C22" s="5" t="s">
        <v>57</v>
      </c>
      <c r="D22" s="5">
        <f>D21*0.2/1.2</f>
        <v>70814.33333333334</v>
      </c>
      <c r="G22" s="5"/>
      <c r="H22" s="5"/>
      <c r="I22" s="5" t="s">
        <v>56</v>
      </c>
      <c r="J22" s="3">
        <f>SUM(J17:J21)</f>
        <v>0</v>
      </c>
    </row>
    <row r="23" spans="1:10" ht="12.75">
      <c r="A23" s="5"/>
      <c r="B23" s="5"/>
      <c r="C23" s="3" t="s">
        <v>58</v>
      </c>
      <c r="D23" s="3">
        <f>D21-D22</f>
        <v>354071.6666666666</v>
      </c>
      <c r="G23" s="5"/>
      <c r="H23" s="5"/>
      <c r="I23" s="5" t="s">
        <v>57</v>
      </c>
      <c r="J23" s="5">
        <f>J22*0.2/1.2</f>
        <v>0</v>
      </c>
    </row>
    <row r="24" spans="9:10" ht="12.75">
      <c r="I24" s="3" t="s">
        <v>58</v>
      </c>
      <c r="J24" s="3">
        <f>J22-J23</f>
        <v>0</v>
      </c>
    </row>
    <row r="25" spans="1:7" ht="12.75">
      <c r="A25" t="s">
        <v>59</v>
      </c>
      <c r="G25" t="s">
        <v>100</v>
      </c>
    </row>
    <row r="26" spans="1:10" ht="12.75">
      <c r="A26" s="3" t="s">
        <v>47</v>
      </c>
      <c r="B26" s="3" t="s">
        <v>11</v>
      </c>
      <c r="C26" s="3" t="s">
        <v>50</v>
      </c>
      <c r="D26" s="3" t="s">
        <v>60</v>
      </c>
      <c r="G26" s="3" t="s">
        <v>47</v>
      </c>
      <c r="H26" s="3" t="s">
        <v>11</v>
      </c>
      <c r="I26" s="3" t="s">
        <v>50</v>
      </c>
      <c r="J26" s="3" t="s">
        <v>60</v>
      </c>
    </row>
    <row r="27" spans="1:10" ht="12.75">
      <c r="A27" s="5" t="s">
        <v>107</v>
      </c>
      <c r="B27" s="5">
        <v>5</v>
      </c>
      <c r="C27" s="19">
        <f>C17</f>
        <v>124.60000000000001</v>
      </c>
      <c r="D27" s="5">
        <f>B27*C27*$B$2</f>
        <v>13706</v>
      </c>
      <c r="G27" s="5"/>
      <c r="H27" s="5"/>
      <c r="I27" s="5">
        <f>I17</f>
        <v>12</v>
      </c>
      <c r="J27" s="5">
        <f>H27*I27*$B$2</f>
        <v>0</v>
      </c>
    </row>
    <row r="28" spans="1:10" ht="12.75">
      <c r="A28" s="5" t="s">
        <v>108</v>
      </c>
      <c r="B28" s="5">
        <v>15</v>
      </c>
      <c r="C28" s="19">
        <f>C18</f>
        <v>311.5</v>
      </c>
      <c r="D28" s="5">
        <f>B28*C28*$B$2</f>
        <v>102795</v>
      </c>
      <c r="G28" s="5"/>
      <c r="H28" s="5"/>
      <c r="I28" s="5">
        <f>I18</f>
        <v>5</v>
      </c>
      <c r="J28" s="5">
        <f>H28*I28*$B$2</f>
        <v>0</v>
      </c>
    </row>
    <row r="29" spans="1:10" ht="12.75">
      <c r="A29" s="5" t="s">
        <v>109</v>
      </c>
      <c r="B29" s="5">
        <v>4</v>
      </c>
      <c r="C29" s="19">
        <f>C19</f>
        <v>186.9</v>
      </c>
      <c r="D29" s="19">
        <f>B29*C29*$B$2</f>
        <v>16447.2</v>
      </c>
      <c r="G29" s="5"/>
      <c r="H29" s="5"/>
      <c r="I29" s="5">
        <f>I19</f>
        <v>3</v>
      </c>
      <c r="J29" s="5">
        <f>H29*I29*$B$2</f>
        <v>0</v>
      </c>
    </row>
    <row r="30" spans="1:10" ht="12.75">
      <c r="A30" s="5"/>
      <c r="B30" s="19"/>
      <c r="C30" s="5">
        <f>C20</f>
        <v>0</v>
      </c>
      <c r="D30" s="5">
        <f>B30*C30*$B$2</f>
        <v>0</v>
      </c>
      <c r="G30" s="5"/>
      <c r="H30" s="19"/>
      <c r="I30" s="5">
        <f>I20</f>
        <v>2</v>
      </c>
      <c r="J30" s="5">
        <f>H30*I30*$B$2</f>
        <v>0</v>
      </c>
    </row>
    <row r="31" spans="1:10" ht="12.75">
      <c r="A31" s="5"/>
      <c r="B31" s="5"/>
      <c r="C31" s="5" t="s">
        <v>61</v>
      </c>
      <c r="D31" s="3">
        <f>SUM(D27:D30)</f>
        <v>132948.2</v>
      </c>
      <c r="G31" s="5"/>
      <c r="H31" s="5"/>
      <c r="I31">
        <v>2</v>
      </c>
      <c r="J31" s="5">
        <f>H31*I31*$B$2</f>
        <v>0</v>
      </c>
    </row>
    <row r="32" spans="1:10" ht="12.75">
      <c r="A32" s="5"/>
      <c r="B32" s="5"/>
      <c r="C32" s="5" t="s">
        <v>57</v>
      </c>
      <c r="D32" s="19">
        <f>D31*0.2/1.2</f>
        <v>22158.033333333336</v>
      </c>
      <c r="G32" s="5"/>
      <c r="H32" s="5"/>
      <c r="I32" s="5" t="s">
        <v>61</v>
      </c>
      <c r="J32" s="3">
        <f>SUM(J27:J31)</f>
        <v>0</v>
      </c>
    </row>
    <row r="33" spans="1:10" ht="12.75">
      <c r="A33" s="5"/>
      <c r="B33" s="5"/>
      <c r="C33" s="3" t="s">
        <v>62</v>
      </c>
      <c r="D33" s="20">
        <f>D31-D32</f>
        <v>110790.16666666667</v>
      </c>
      <c r="G33" s="5"/>
      <c r="H33" s="5"/>
      <c r="I33" s="5" t="s">
        <v>57</v>
      </c>
      <c r="J33" s="19">
        <f>J32*0.2/1.2</f>
        <v>0</v>
      </c>
    </row>
    <row r="34" spans="9:10" ht="12.75">
      <c r="I34" s="3" t="s">
        <v>62</v>
      </c>
      <c r="J34" s="20">
        <f>J32-J33</f>
        <v>0</v>
      </c>
    </row>
    <row r="35" spans="1:12" ht="13.5" thickBot="1">
      <c r="A35" t="s">
        <v>95</v>
      </c>
      <c r="D35">
        <v>0.33</v>
      </c>
      <c r="E35">
        <v>0.014</v>
      </c>
      <c r="H35" t="s">
        <v>97</v>
      </c>
      <c r="K35">
        <v>0.33</v>
      </c>
      <c r="L35">
        <v>0.014</v>
      </c>
    </row>
    <row r="36" spans="1:13" ht="51.75" thickBot="1">
      <c r="A36" s="21" t="s">
        <v>64</v>
      </c>
      <c r="B36" s="24" t="s">
        <v>65</v>
      </c>
      <c r="C36" s="24" t="s">
        <v>69</v>
      </c>
      <c r="D36" s="24" t="s">
        <v>70</v>
      </c>
      <c r="E36" s="24" t="s">
        <v>71</v>
      </c>
      <c r="F36" s="24" t="s">
        <v>72</v>
      </c>
      <c r="H36" s="21" t="s">
        <v>64</v>
      </c>
      <c r="I36" s="24" t="s">
        <v>65</v>
      </c>
      <c r="J36" s="24" t="s">
        <v>69</v>
      </c>
      <c r="K36" s="24" t="s">
        <v>70</v>
      </c>
      <c r="L36" s="24" t="s">
        <v>71</v>
      </c>
      <c r="M36" s="24" t="s">
        <v>72</v>
      </c>
    </row>
    <row r="37" spans="1:13" ht="12.75">
      <c r="A37" s="23" t="s">
        <v>110</v>
      </c>
      <c r="B37" s="5">
        <v>1</v>
      </c>
      <c r="C37" s="5">
        <v>10000</v>
      </c>
      <c r="D37" s="5">
        <f>C37*$B$4*B37</f>
        <v>3300</v>
      </c>
      <c r="E37" s="5">
        <f>C37*$B$5*B37</f>
        <v>140</v>
      </c>
      <c r="F37" s="5">
        <f>C37*B37+D37+E37</f>
        <v>13440</v>
      </c>
      <c r="H37" s="23"/>
      <c r="I37" s="5">
        <v>3</v>
      </c>
      <c r="J37" s="5">
        <v>10000</v>
      </c>
      <c r="K37" s="5">
        <f>J37*$B$4*I37</f>
        <v>9900</v>
      </c>
      <c r="L37" s="5">
        <f>J37*$B$5*I37</f>
        <v>420</v>
      </c>
      <c r="M37" s="5">
        <f>J37*I37+K37+L37</f>
        <v>40320</v>
      </c>
    </row>
    <row r="38" spans="1:13" ht="12.75">
      <c r="A38" s="23" t="s">
        <v>111</v>
      </c>
      <c r="B38" s="5">
        <v>1</v>
      </c>
      <c r="C38" s="5">
        <v>15000</v>
      </c>
      <c r="D38" s="5">
        <f>C38*$B$4*B38</f>
        <v>4950</v>
      </c>
      <c r="E38" s="5">
        <f>C38*$B$5*B38</f>
        <v>210</v>
      </c>
      <c r="F38" s="5">
        <f>C38*B38+D38+E38</f>
        <v>20160</v>
      </c>
      <c r="H38" s="23"/>
      <c r="I38" s="5">
        <v>1</v>
      </c>
      <c r="J38" s="5">
        <v>10000</v>
      </c>
      <c r="K38" s="5">
        <f>J38*$B$4*I38</f>
        <v>3300</v>
      </c>
      <c r="L38" s="5">
        <f>J38*$B$5*I38</f>
        <v>140</v>
      </c>
      <c r="M38" s="5">
        <f>J38*I38+K38+L38</f>
        <v>13440</v>
      </c>
    </row>
    <row r="39" spans="1:13" ht="12.75">
      <c r="A39" s="23" t="s">
        <v>112</v>
      </c>
      <c r="B39" s="5">
        <v>2</v>
      </c>
      <c r="C39" s="5">
        <v>10000</v>
      </c>
      <c r="D39" s="5">
        <f>C39*$B$4*B39</f>
        <v>6600</v>
      </c>
      <c r="E39" s="5">
        <f>C39*$B$5*B39</f>
        <v>280</v>
      </c>
      <c r="F39" s="5">
        <f>C39*B39+D39+E39</f>
        <v>26880</v>
      </c>
      <c r="H39" s="5"/>
      <c r="I39" s="5">
        <v>1</v>
      </c>
      <c r="J39" s="5">
        <v>10000</v>
      </c>
      <c r="K39" s="5">
        <f>J39*$B$4*I39</f>
        <v>3300</v>
      </c>
      <c r="L39" s="5">
        <f>J39*$B$5*I39</f>
        <v>140</v>
      </c>
      <c r="M39" s="5">
        <f>J39*I39+K39+L39</f>
        <v>13440</v>
      </c>
    </row>
    <row r="40" spans="1:13" ht="12.75">
      <c r="A40" s="22" t="s">
        <v>113</v>
      </c>
      <c r="B40" s="5">
        <v>1</v>
      </c>
      <c r="C40" s="5">
        <v>8000</v>
      </c>
      <c r="D40" s="5">
        <f>C40*$B$4*B40</f>
        <v>2640</v>
      </c>
      <c r="E40" s="5">
        <f>C40*$B$5*B40</f>
        <v>112</v>
      </c>
      <c r="F40" s="5">
        <f>C40*B40+D40+E40</f>
        <v>10752</v>
      </c>
      <c r="H40" s="26"/>
      <c r="I40" s="5">
        <v>1</v>
      </c>
      <c r="J40" s="5">
        <v>8000</v>
      </c>
      <c r="K40" s="5">
        <f>J40*$B$4*I40</f>
        <v>2640</v>
      </c>
      <c r="L40" s="5">
        <f>J40*$B$5*I40</f>
        <v>112</v>
      </c>
      <c r="M40" s="5">
        <f>J40*I40+K40+L40</f>
        <v>10752</v>
      </c>
    </row>
    <row r="41" spans="1:13" ht="12.75">
      <c r="A41" s="60" t="s">
        <v>114</v>
      </c>
      <c r="B41" s="60">
        <v>1</v>
      </c>
      <c r="C41" s="60">
        <v>8000</v>
      </c>
      <c r="D41" s="60">
        <f>C41*$B$4*B41</f>
        <v>2640</v>
      </c>
      <c r="E41" s="60">
        <f>C41*$B$5*B41</f>
        <v>112</v>
      </c>
      <c r="F41" s="60">
        <f>C41*B41+D41+E41</f>
        <v>10752</v>
      </c>
      <c r="H41" s="26"/>
      <c r="I41" s="26">
        <v>1</v>
      </c>
      <c r="J41" s="26">
        <v>10000</v>
      </c>
      <c r="K41" s="26">
        <f>J41*$B$4*I41</f>
        <v>3300</v>
      </c>
      <c r="L41" s="26">
        <f>J41*$B$5*I41</f>
        <v>140</v>
      </c>
      <c r="M41" s="26">
        <f>J41*I41+K41+L41</f>
        <v>13440</v>
      </c>
    </row>
    <row r="42" spans="6:13" ht="12.75">
      <c r="F42" s="25">
        <f>SUM(F37:F41)</f>
        <v>81984</v>
      </c>
      <c r="M42" s="25">
        <f>SUM(M37:M41)</f>
        <v>91392</v>
      </c>
    </row>
    <row r="43" spans="1:2" ht="12.75">
      <c r="A43" s="3" t="s">
        <v>73</v>
      </c>
      <c r="B43" s="5"/>
    </row>
    <row r="44" spans="1:2" ht="12.75">
      <c r="A44" s="5" t="s">
        <v>74</v>
      </c>
      <c r="B44" s="5">
        <v>2000</v>
      </c>
    </row>
    <row r="45" spans="1:2" ht="12.75">
      <c r="A45" s="5" t="s">
        <v>75</v>
      </c>
      <c r="B45" s="5">
        <v>5000</v>
      </c>
    </row>
    <row r="46" spans="1:2" ht="12.75">
      <c r="A46" s="5" t="s">
        <v>76</v>
      </c>
      <c r="B46" s="5">
        <v>2000</v>
      </c>
    </row>
    <row r="47" spans="1:2" ht="12.75">
      <c r="A47" s="5" t="s">
        <v>115</v>
      </c>
      <c r="B47" s="5">
        <v>8000</v>
      </c>
    </row>
    <row r="48" spans="1:2" ht="12.75">
      <c r="A48" s="5" t="s">
        <v>77</v>
      </c>
      <c r="B48" s="5">
        <v>3000</v>
      </c>
    </row>
    <row r="49" spans="1:2" ht="12.75">
      <c r="A49" s="5" t="s">
        <v>78</v>
      </c>
      <c r="B49" s="5">
        <v>1000</v>
      </c>
    </row>
    <row r="50" spans="1:2" ht="12.75">
      <c r="A50" s="26" t="s">
        <v>79</v>
      </c>
      <c r="B50" s="27">
        <v>4000</v>
      </c>
    </row>
    <row r="51" spans="1:7" ht="12.75">
      <c r="A51" s="28" t="s">
        <v>80</v>
      </c>
      <c r="B51" s="3">
        <f>SUM(B44:B50)</f>
        <v>25000</v>
      </c>
      <c r="D51" s="51"/>
      <c r="G51" s="51"/>
    </row>
    <row r="52" spans="2:13" ht="13.5" thickBot="1">
      <c r="B52" s="50"/>
      <c r="D52">
        <v>1</v>
      </c>
      <c r="G52">
        <f>(E53+F53+G53)/3</f>
        <v>0.9</v>
      </c>
      <c r="J52" s="51">
        <f>(H53+I53+J53)/3</f>
        <v>0.6666666666666666</v>
      </c>
      <c r="M52" s="51">
        <f>(K53+L53+M53)/3</f>
        <v>0.9</v>
      </c>
    </row>
    <row r="53" spans="1:20" ht="13.5" thickBot="1">
      <c r="A53" s="5" t="s">
        <v>0</v>
      </c>
      <c r="B53" s="5">
        <v>0</v>
      </c>
      <c r="C53" s="5">
        <v>1</v>
      </c>
      <c r="D53" s="5">
        <v>1</v>
      </c>
      <c r="E53" s="5">
        <v>1</v>
      </c>
      <c r="F53" s="5">
        <v>1</v>
      </c>
      <c r="G53" s="5">
        <v>0.7</v>
      </c>
      <c r="H53" s="5">
        <v>0.5</v>
      </c>
      <c r="I53" s="5">
        <v>0.5</v>
      </c>
      <c r="J53" s="5">
        <v>1</v>
      </c>
      <c r="K53" s="5">
        <v>1</v>
      </c>
      <c r="L53" s="5">
        <v>1</v>
      </c>
      <c r="M53" s="23">
        <v>0.7</v>
      </c>
      <c r="N53" s="61">
        <v>2010</v>
      </c>
      <c r="O53" s="47" t="s">
        <v>91</v>
      </c>
      <c r="P53" s="10" t="s">
        <v>92</v>
      </c>
      <c r="Q53" s="10" t="s">
        <v>93</v>
      </c>
      <c r="R53" s="10" t="s">
        <v>94</v>
      </c>
      <c r="S53" s="10">
        <v>2011</v>
      </c>
      <c r="T53" s="48">
        <v>2012</v>
      </c>
    </row>
    <row r="54" spans="1:20" ht="12.75">
      <c r="A54" s="4" t="s">
        <v>1</v>
      </c>
      <c r="B54" s="3">
        <v>1</v>
      </c>
      <c r="C54" s="3">
        <v>2</v>
      </c>
      <c r="D54" s="3">
        <v>3</v>
      </c>
      <c r="E54" s="3">
        <v>4</v>
      </c>
      <c r="F54" s="3">
        <v>5</v>
      </c>
      <c r="G54" s="3">
        <v>6</v>
      </c>
      <c r="H54" s="3">
        <v>7</v>
      </c>
      <c r="I54" s="3">
        <v>8</v>
      </c>
      <c r="J54" s="3">
        <v>9</v>
      </c>
      <c r="K54" s="3">
        <v>10</v>
      </c>
      <c r="L54" s="3">
        <v>11</v>
      </c>
      <c r="M54" s="40">
        <v>12</v>
      </c>
      <c r="N54" s="5"/>
      <c r="O54" s="8"/>
      <c r="P54" s="8"/>
      <c r="Q54" s="8"/>
      <c r="R54" s="8"/>
      <c r="S54" s="8"/>
      <c r="T54" s="8"/>
    </row>
    <row r="55" spans="1:20" ht="12.75">
      <c r="A55" s="5" t="s">
        <v>2</v>
      </c>
      <c r="B55" s="19">
        <f>$D$23*B53</f>
        <v>0</v>
      </c>
      <c r="C55" s="19">
        <f aca="true" t="shared" si="0" ref="C55:M55">$D$23*C53</f>
        <v>354071.6666666666</v>
      </c>
      <c r="D55" s="19">
        <f t="shared" si="0"/>
        <v>354071.6666666666</v>
      </c>
      <c r="E55" s="19">
        <f t="shared" si="0"/>
        <v>354071.6666666666</v>
      </c>
      <c r="F55" s="19">
        <f t="shared" si="0"/>
        <v>354071.6666666666</v>
      </c>
      <c r="G55" s="19">
        <f t="shared" si="0"/>
        <v>247850.16666666663</v>
      </c>
      <c r="H55" s="19">
        <f t="shared" si="0"/>
        <v>177035.8333333333</v>
      </c>
      <c r="I55" s="19">
        <f t="shared" si="0"/>
        <v>177035.8333333333</v>
      </c>
      <c r="J55" s="19">
        <f t="shared" si="0"/>
        <v>354071.6666666666</v>
      </c>
      <c r="K55" s="19">
        <f t="shared" si="0"/>
        <v>354071.6666666666</v>
      </c>
      <c r="L55" s="19">
        <f t="shared" si="0"/>
        <v>354071.6666666666</v>
      </c>
      <c r="M55" s="41">
        <f t="shared" si="0"/>
        <v>247850.16666666663</v>
      </c>
      <c r="N55" s="19">
        <f>SUM(B55:M55)</f>
        <v>3328273.6666666656</v>
      </c>
      <c r="O55" s="19">
        <f>$D$23*3*D52</f>
        <v>1062215</v>
      </c>
      <c r="P55" s="19">
        <f>$D$23*3*G52</f>
        <v>955993.5</v>
      </c>
      <c r="Q55" s="19">
        <f>$D$23*3*J52</f>
        <v>708143.3333333333</v>
      </c>
      <c r="R55" s="19">
        <f>$D$23*3*G52</f>
        <v>955993.5</v>
      </c>
      <c r="S55" s="5">
        <f>SUM(O55:R55)</f>
        <v>3682345.333333333</v>
      </c>
      <c r="T55" s="5">
        <f>S55*B12</f>
        <v>3866462.5999999996</v>
      </c>
    </row>
    <row r="56" spans="1:20" ht="13.5" thickBot="1">
      <c r="A56" t="s">
        <v>81</v>
      </c>
      <c r="B56" s="7">
        <f>B6</f>
        <v>2000000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42"/>
      <c r="N56" s="33">
        <f aca="true" t="shared" si="1" ref="N56:N70">SUM(B56:M56)</f>
        <v>2000000</v>
      </c>
      <c r="O56" s="7"/>
      <c r="P56" s="7"/>
      <c r="Q56" s="33"/>
      <c r="R56" s="33"/>
      <c r="S56" s="7">
        <f aca="true" t="shared" si="2" ref="S56:S68">SUM(O56:R56)</f>
        <v>0</v>
      </c>
      <c r="T56" s="7">
        <f aca="true" t="shared" si="3" ref="T56:T68">S56</f>
        <v>0</v>
      </c>
    </row>
    <row r="57" spans="1:20" ht="13.5" thickBot="1">
      <c r="A57" s="9" t="s">
        <v>8</v>
      </c>
      <c r="B57" s="31">
        <f>SUM(B55:B56)</f>
        <v>2000000</v>
      </c>
      <c r="C57" s="32">
        <f aca="true" t="shared" si="4" ref="C57:M57">SUM(C55:C56)</f>
        <v>354071.6666666666</v>
      </c>
      <c r="D57" s="32">
        <f t="shared" si="4"/>
        <v>354071.6666666666</v>
      </c>
      <c r="E57" s="32">
        <f t="shared" si="4"/>
        <v>354071.6666666666</v>
      </c>
      <c r="F57" s="32">
        <f t="shared" si="4"/>
        <v>354071.6666666666</v>
      </c>
      <c r="G57" s="32">
        <f t="shared" si="4"/>
        <v>247850.16666666663</v>
      </c>
      <c r="H57" s="32">
        <f t="shared" si="4"/>
        <v>177035.8333333333</v>
      </c>
      <c r="I57" s="32">
        <f t="shared" si="4"/>
        <v>177035.8333333333</v>
      </c>
      <c r="J57" s="32">
        <f t="shared" si="4"/>
        <v>354071.6666666666</v>
      </c>
      <c r="K57" s="32">
        <f t="shared" si="4"/>
        <v>354071.6666666666</v>
      </c>
      <c r="L57" s="43">
        <f t="shared" si="4"/>
        <v>354071.6666666666</v>
      </c>
      <c r="M57" s="52">
        <f t="shared" si="4"/>
        <v>247850.16666666663</v>
      </c>
      <c r="N57" s="43">
        <f t="shared" si="1"/>
        <v>5328273.666666667</v>
      </c>
      <c r="O57" s="31">
        <f>SUM(O55:O56)</f>
        <v>1062215</v>
      </c>
      <c r="P57" s="31">
        <f>SUM(P55:P56)</f>
        <v>955993.5</v>
      </c>
      <c r="Q57" s="31">
        <f>SUM(Q55:Q56)</f>
        <v>708143.3333333333</v>
      </c>
      <c r="R57" s="52">
        <f>SUM(R55:R56)</f>
        <v>955993.5</v>
      </c>
      <c r="S57" s="55">
        <f t="shared" si="2"/>
        <v>3682345.333333333</v>
      </c>
      <c r="T57" s="55">
        <f>SUM(T55:T56)</f>
        <v>3866462.5999999996</v>
      </c>
    </row>
    <row r="58" spans="1:20" ht="12.75">
      <c r="A58" s="1" t="s">
        <v>9</v>
      </c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30">
        <f t="shared" si="1"/>
        <v>0</v>
      </c>
      <c r="O58" s="8"/>
      <c r="P58" s="8"/>
      <c r="Q58" s="8"/>
      <c r="R58" s="8"/>
      <c r="S58" s="8">
        <f t="shared" si="2"/>
        <v>0</v>
      </c>
      <c r="T58" s="8">
        <f t="shared" si="3"/>
        <v>0</v>
      </c>
    </row>
    <row r="59" spans="1:20" ht="12.75">
      <c r="A59" s="5" t="s">
        <v>10</v>
      </c>
      <c r="B59" s="30">
        <f>$D$33*B53</f>
        <v>0</v>
      </c>
      <c r="C59" s="30">
        <f aca="true" t="shared" si="5" ref="C59:M59">$D$33*C53</f>
        <v>110790.16666666667</v>
      </c>
      <c r="D59" s="30">
        <f t="shared" si="5"/>
        <v>110790.16666666667</v>
      </c>
      <c r="E59" s="30">
        <f t="shared" si="5"/>
        <v>110790.16666666667</v>
      </c>
      <c r="F59" s="30">
        <f t="shared" si="5"/>
        <v>110790.16666666667</v>
      </c>
      <c r="G59" s="30">
        <f t="shared" si="5"/>
        <v>77553.11666666667</v>
      </c>
      <c r="H59" s="30">
        <f t="shared" si="5"/>
        <v>55395.083333333336</v>
      </c>
      <c r="I59" s="30">
        <f t="shared" si="5"/>
        <v>55395.083333333336</v>
      </c>
      <c r="J59" s="30">
        <f t="shared" si="5"/>
        <v>110790.16666666667</v>
      </c>
      <c r="K59" s="30">
        <f t="shared" si="5"/>
        <v>110790.16666666667</v>
      </c>
      <c r="L59" s="30">
        <f t="shared" si="5"/>
        <v>110790.16666666667</v>
      </c>
      <c r="M59" s="44">
        <f t="shared" si="5"/>
        <v>77553.11666666667</v>
      </c>
      <c r="N59" s="19">
        <f t="shared" si="1"/>
        <v>1041427.5666666667</v>
      </c>
      <c r="O59" s="19">
        <f>$D$33*3*D52</f>
        <v>332370.5</v>
      </c>
      <c r="P59" s="19">
        <f>$D$33*3*G52</f>
        <v>299133.45</v>
      </c>
      <c r="Q59" s="19">
        <f>$D$33*3*J52</f>
        <v>221580.3333333333</v>
      </c>
      <c r="R59" s="19">
        <f>$D$33*3*G52</f>
        <v>299133.45</v>
      </c>
      <c r="S59" s="5">
        <f t="shared" si="2"/>
        <v>1152217.7333333332</v>
      </c>
      <c r="T59" s="19">
        <f>S59*B12</f>
        <v>1209828.6199999999</v>
      </c>
    </row>
    <row r="60" spans="1:20" ht="12.75">
      <c r="A60" s="5" t="s">
        <v>83</v>
      </c>
      <c r="B60" s="5">
        <v>1200000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23"/>
      <c r="N60" s="19">
        <f t="shared" si="1"/>
        <v>1200000</v>
      </c>
      <c r="O60" s="5"/>
      <c r="P60" s="5"/>
      <c r="Q60" s="5"/>
      <c r="R60" s="5"/>
      <c r="S60" s="5">
        <f t="shared" si="2"/>
        <v>0</v>
      </c>
      <c r="T60" s="5">
        <f t="shared" si="3"/>
        <v>0</v>
      </c>
    </row>
    <row r="61" spans="1:20" ht="12.75">
      <c r="A61" s="5" t="s">
        <v>34</v>
      </c>
      <c r="B61" s="5">
        <v>190000</v>
      </c>
      <c r="C61" s="5">
        <v>10000</v>
      </c>
      <c r="D61" s="5"/>
      <c r="E61" s="5"/>
      <c r="F61" s="5"/>
      <c r="G61" s="5"/>
      <c r="H61" s="5"/>
      <c r="I61" s="5"/>
      <c r="J61" s="5"/>
      <c r="K61" s="5"/>
      <c r="L61" s="5"/>
      <c r="M61" s="23"/>
      <c r="N61" s="19">
        <f t="shared" si="1"/>
        <v>200000</v>
      </c>
      <c r="O61" s="5"/>
      <c r="P61" s="5"/>
      <c r="Q61" s="5"/>
      <c r="R61" s="5"/>
      <c r="S61" s="5">
        <f t="shared" si="2"/>
        <v>0</v>
      </c>
      <c r="T61" s="5">
        <f t="shared" si="3"/>
        <v>0</v>
      </c>
    </row>
    <row r="62" spans="1:20" ht="12.75">
      <c r="A62" s="5" t="s">
        <v>84</v>
      </c>
      <c r="B62" s="5">
        <v>600000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23"/>
      <c r="N62" s="19">
        <f t="shared" si="1"/>
        <v>600000</v>
      </c>
      <c r="O62" s="5"/>
      <c r="P62" s="5"/>
      <c r="Q62" s="5"/>
      <c r="R62" s="5"/>
      <c r="S62" s="5">
        <f t="shared" si="2"/>
        <v>0</v>
      </c>
      <c r="T62" s="5">
        <f t="shared" si="3"/>
        <v>0</v>
      </c>
    </row>
    <row r="63" spans="1:20" ht="12.75">
      <c r="A63" s="5" t="s">
        <v>85</v>
      </c>
      <c r="B63" s="5">
        <v>0</v>
      </c>
      <c r="C63" s="5">
        <f>$F$42</f>
        <v>81984</v>
      </c>
      <c r="D63" s="5">
        <f aca="true" t="shared" si="6" ref="D63:M63">$F$42</f>
        <v>81984</v>
      </c>
      <c r="E63" s="5">
        <f t="shared" si="6"/>
        <v>81984</v>
      </c>
      <c r="F63" s="5">
        <f t="shared" si="6"/>
        <v>81984</v>
      </c>
      <c r="G63" s="5">
        <f t="shared" si="6"/>
        <v>81984</v>
      </c>
      <c r="H63" s="5">
        <f t="shared" si="6"/>
        <v>81984</v>
      </c>
      <c r="I63" s="5">
        <f t="shared" si="6"/>
        <v>81984</v>
      </c>
      <c r="J63" s="5">
        <f t="shared" si="6"/>
        <v>81984</v>
      </c>
      <c r="K63" s="5">
        <f t="shared" si="6"/>
        <v>81984</v>
      </c>
      <c r="L63" s="5">
        <f t="shared" si="6"/>
        <v>81984</v>
      </c>
      <c r="M63" s="5">
        <f t="shared" si="6"/>
        <v>81984</v>
      </c>
      <c r="N63" s="19">
        <f t="shared" si="1"/>
        <v>901824</v>
      </c>
      <c r="O63" s="5">
        <f>$F$42*3</f>
        <v>245952</v>
      </c>
      <c r="P63" s="5">
        <f>$F$42*3</f>
        <v>245952</v>
      </c>
      <c r="Q63" s="5">
        <f>$F$42*3</f>
        <v>245952</v>
      </c>
      <c r="R63" s="5">
        <f>$F$42*3</f>
        <v>245952</v>
      </c>
      <c r="S63" s="5">
        <f t="shared" si="2"/>
        <v>983808</v>
      </c>
      <c r="T63" s="5">
        <f t="shared" si="3"/>
        <v>983808</v>
      </c>
    </row>
    <row r="64" spans="1:20" ht="12.75">
      <c r="A64" s="27" t="s">
        <v>73</v>
      </c>
      <c r="B64" s="5">
        <v>0</v>
      </c>
      <c r="C64" s="5">
        <f aca="true" t="shared" si="7" ref="C64:M64">$B$51</f>
        <v>25000</v>
      </c>
      <c r="D64" s="5">
        <f t="shared" si="7"/>
        <v>25000</v>
      </c>
      <c r="E64" s="5">
        <f t="shared" si="7"/>
        <v>25000</v>
      </c>
      <c r="F64" s="5">
        <f t="shared" si="7"/>
        <v>25000</v>
      </c>
      <c r="G64" s="5">
        <f t="shared" si="7"/>
        <v>25000</v>
      </c>
      <c r="H64" s="5">
        <f t="shared" si="7"/>
        <v>25000</v>
      </c>
      <c r="I64" s="5">
        <f t="shared" si="7"/>
        <v>25000</v>
      </c>
      <c r="J64" s="5">
        <f t="shared" si="7"/>
        <v>25000</v>
      </c>
      <c r="K64" s="5">
        <f t="shared" si="7"/>
        <v>25000</v>
      </c>
      <c r="L64" s="5">
        <f t="shared" si="7"/>
        <v>25000</v>
      </c>
      <c r="M64" s="5">
        <f t="shared" si="7"/>
        <v>25000</v>
      </c>
      <c r="N64" s="19">
        <f t="shared" si="1"/>
        <v>275000</v>
      </c>
      <c r="O64" s="5">
        <f>$B$51*3</f>
        <v>75000</v>
      </c>
      <c r="P64" s="5">
        <f>$B$51*3</f>
        <v>75000</v>
      </c>
      <c r="Q64" s="5">
        <f>$B$51*3</f>
        <v>75000</v>
      </c>
      <c r="R64" s="5">
        <f>$B$51*3</f>
        <v>75000</v>
      </c>
      <c r="S64" s="5">
        <f t="shared" si="2"/>
        <v>300000</v>
      </c>
      <c r="T64" s="5">
        <f t="shared" si="3"/>
        <v>300000</v>
      </c>
    </row>
    <row r="65" spans="1:20" ht="12.75">
      <c r="A65" s="5" t="s">
        <v>86</v>
      </c>
      <c r="B65" s="5">
        <v>0</v>
      </c>
      <c r="C65" s="5">
        <f aca="true" t="shared" si="8" ref="C65:M65">$B$7</f>
        <v>5000</v>
      </c>
      <c r="D65" s="5">
        <f t="shared" si="8"/>
        <v>5000</v>
      </c>
      <c r="E65" s="5">
        <f t="shared" si="8"/>
        <v>5000</v>
      </c>
      <c r="F65" s="5">
        <f t="shared" si="8"/>
        <v>5000</v>
      </c>
      <c r="G65" s="5">
        <f t="shared" si="8"/>
        <v>5000</v>
      </c>
      <c r="H65" s="5">
        <f t="shared" si="8"/>
        <v>5000</v>
      </c>
      <c r="I65" s="5">
        <f t="shared" si="8"/>
        <v>5000</v>
      </c>
      <c r="J65" s="5">
        <v>25000</v>
      </c>
      <c r="K65" s="5">
        <f t="shared" si="8"/>
        <v>5000</v>
      </c>
      <c r="L65" s="5">
        <f t="shared" si="8"/>
        <v>5000</v>
      </c>
      <c r="M65" s="23">
        <f t="shared" si="8"/>
        <v>5000</v>
      </c>
      <c r="N65" s="19">
        <f t="shared" si="1"/>
        <v>75000</v>
      </c>
      <c r="O65" s="5">
        <f>$B$7*3</f>
        <v>15000</v>
      </c>
      <c r="P65" s="5">
        <f>$B$7*3</f>
        <v>15000</v>
      </c>
      <c r="Q65" s="5">
        <f>$B$7*2+J65</f>
        <v>35000</v>
      </c>
      <c r="R65" s="5">
        <f>$B$7*3</f>
        <v>15000</v>
      </c>
      <c r="S65" s="5">
        <f t="shared" si="2"/>
        <v>80000</v>
      </c>
      <c r="T65" s="5">
        <f t="shared" si="3"/>
        <v>80000</v>
      </c>
    </row>
    <row r="66" spans="1:20" ht="12.75">
      <c r="A66" s="5" t="s">
        <v>87</v>
      </c>
      <c r="B66" s="5">
        <f>$B$8</f>
        <v>35000</v>
      </c>
      <c r="C66" s="5">
        <f aca="true" t="shared" si="9" ref="C66:M66">$B$8</f>
        <v>35000</v>
      </c>
      <c r="D66" s="5">
        <f t="shared" si="9"/>
        <v>35000</v>
      </c>
      <c r="E66" s="5">
        <f t="shared" si="9"/>
        <v>35000</v>
      </c>
      <c r="F66" s="5">
        <f t="shared" si="9"/>
        <v>35000</v>
      </c>
      <c r="G66" s="5">
        <f t="shared" si="9"/>
        <v>35000</v>
      </c>
      <c r="H66" s="5">
        <f t="shared" si="9"/>
        <v>35000</v>
      </c>
      <c r="I66" s="5">
        <f t="shared" si="9"/>
        <v>35000</v>
      </c>
      <c r="J66" s="5">
        <f t="shared" si="9"/>
        <v>35000</v>
      </c>
      <c r="K66" s="5">
        <f t="shared" si="9"/>
        <v>35000</v>
      </c>
      <c r="L66" s="5">
        <f t="shared" si="9"/>
        <v>35000</v>
      </c>
      <c r="M66" s="23">
        <f t="shared" si="9"/>
        <v>35000</v>
      </c>
      <c r="N66" s="19">
        <f t="shared" si="1"/>
        <v>420000</v>
      </c>
      <c r="O66" s="5">
        <f>$B$8*3</f>
        <v>105000</v>
      </c>
      <c r="P66" s="5">
        <f>$B$8*3</f>
        <v>105000</v>
      </c>
      <c r="Q66" s="5">
        <f>$B$8*3</f>
        <v>105000</v>
      </c>
      <c r="R66" s="5">
        <f>$B$8*3</f>
        <v>105000</v>
      </c>
      <c r="S66" s="5">
        <f t="shared" si="2"/>
        <v>420000</v>
      </c>
      <c r="T66" s="5">
        <f t="shared" si="3"/>
        <v>420000</v>
      </c>
    </row>
    <row r="67" spans="1:20" ht="12.75">
      <c r="A67" s="5" t="s">
        <v>88</v>
      </c>
      <c r="B67" s="19">
        <v>0</v>
      </c>
      <c r="C67" s="19">
        <f aca="true" t="shared" si="10" ref="C67:M67">$B$9</f>
        <v>16666.666666666668</v>
      </c>
      <c r="D67" s="19">
        <f t="shared" si="10"/>
        <v>16666.666666666668</v>
      </c>
      <c r="E67" s="19">
        <f t="shared" si="10"/>
        <v>16666.666666666668</v>
      </c>
      <c r="F67" s="19">
        <f t="shared" si="10"/>
        <v>16666.666666666668</v>
      </c>
      <c r="G67" s="19">
        <f t="shared" si="10"/>
        <v>16666.666666666668</v>
      </c>
      <c r="H67" s="19">
        <f t="shared" si="10"/>
        <v>16666.666666666668</v>
      </c>
      <c r="I67" s="19">
        <f t="shared" si="10"/>
        <v>16666.666666666668</v>
      </c>
      <c r="J67" s="19">
        <f t="shared" si="10"/>
        <v>16666.666666666668</v>
      </c>
      <c r="K67" s="19">
        <f t="shared" si="10"/>
        <v>16666.666666666668</v>
      </c>
      <c r="L67" s="19">
        <f t="shared" si="10"/>
        <v>16666.666666666668</v>
      </c>
      <c r="M67" s="41">
        <f t="shared" si="10"/>
        <v>16666.666666666668</v>
      </c>
      <c r="N67" s="19">
        <f t="shared" si="1"/>
        <v>183333.3333333333</v>
      </c>
      <c r="O67" s="5">
        <f>$B$9*3</f>
        <v>50000</v>
      </c>
      <c r="P67" s="5">
        <f>$B$9*3</f>
        <v>50000</v>
      </c>
      <c r="Q67" s="5">
        <f>$B$9*3</f>
        <v>50000</v>
      </c>
      <c r="R67" s="5">
        <f>$B$9*3</f>
        <v>50000</v>
      </c>
      <c r="S67" s="5">
        <f t="shared" si="2"/>
        <v>200000</v>
      </c>
      <c r="T67" s="5">
        <f t="shared" si="3"/>
        <v>200000</v>
      </c>
    </row>
    <row r="68" spans="1:20" ht="12.75">
      <c r="A68" s="7" t="s">
        <v>89</v>
      </c>
      <c r="B68" s="33">
        <f>$B$10</f>
        <v>8333.333333333334</v>
      </c>
      <c r="C68" s="33">
        <f aca="true" t="shared" si="11" ref="C68:M68">$B$10</f>
        <v>8333.333333333334</v>
      </c>
      <c r="D68" s="33">
        <f t="shared" si="11"/>
        <v>8333.333333333334</v>
      </c>
      <c r="E68" s="33">
        <f t="shared" si="11"/>
        <v>8333.333333333334</v>
      </c>
      <c r="F68" s="33">
        <f t="shared" si="11"/>
        <v>8333.333333333334</v>
      </c>
      <c r="G68" s="33">
        <f t="shared" si="11"/>
        <v>8333.333333333334</v>
      </c>
      <c r="H68" s="33">
        <f t="shared" si="11"/>
        <v>8333.333333333334</v>
      </c>
      <c r="I68" s="33">
        <f t="shared" si="11"/>
        <v>8333.333333333334</v>
      </c>
      <c r="J68" s="33">
        <f t="shared" si="11"/>
        <v>8333.333333333334</v>
      </c>
      <c r="K68" s="33">
        <f t="shared" si="11"/>
        <v>8333.333333333334</v>
      </c>
      <c r="L68" s="33">
        <f t="shared" si="11"/>
        <v>8333.333333333334</v>
      </c>
      <c r="M68" s="45">
        <f t="shared" si="11"/>
        <v>8333.333333333334</v>
      </c>
      <c r="N68" s="19">
        <f t="shared" si="1"/>
        <v>99999.99999999999</v>
      </c>
      <c r="O68" s="33">
        <f>$B$10*3</f>
        <v>25000</v>
      </c>
      <c r="P68" s="33">
        <f>$B$10*3</f>
        <v>25000</v>
      </c>
      <c r="Q68" s="33">
        <f>$B$10*3</f>
        <v>25000</v>
      </c>
      <c r="R68" s="33">
        <f>$B$10*3</f>
        <v>25000</v>
      </c>
      <c r="S68" s="7">
        <f t="shared" si="2"/>
        <v>100000</v>
      </c>
      <c r="T68" s="5">
        <f t="shared" si="3"/>
        <v>100000</v>
      </c>
    </row>
    <row r="69" spans="1:20" ht="13.5" thickBot="1">
      <c r="A69" s="11" t="s">
        <v>103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8"/>
      <c r="N69" s="45"/>
      <c r="O69" s="59"/>
      <c r="P69" s="59"/>
      <c r="Q69" s="59"/>
      <c r="R69" s="59"/>
      <c r="S69" s="56"/>
      <c r="T69" s="7"/>
    </row>
    <row r="70" spans="1:20" ht="13.5" thickBot="1">
      <c r="A70" s="37" t="s">
        <v>19</v>
      </c>
      <c r="B70" s="38">
        <f>SUM(B58:B68)</f>
        <v>2033333.3333333333</v>
      </c>
      <c r="C70" s="38">
        <f aca="true" t="shared" si="12" ref="C70:M70">SUM(C58:C68)</f>
        <v>292774.1666666667</v>
      </c>
      <c r="D70" s="38">
        <f t="shared" si="12"/>
        <v>282774.1666666667</v>
      </c>
      <c r="E70" s="38">
        <f t="shared" si="12"/>
        <v>282774.1666666667</v>
      </c>
      <c r="F70" s="38">
        <f t="shared" si="12"/>
        <v>282774.1666666667</v>
      </c>
      <c r="G70" s="38">
        <f t="shared" si="12"/>
        <v>249537.11666666667</v>
      </c>
      <c r="H70" s="38">
        <f t="shared" si="12"/>
        <v>227379.08333333334</v>
      </c>
      <c r="I70" s="38">
        <f t="shared" si="12"/>
        <v>227379.08333333334</v>
      </c>
      <c r="J70" s="38">
        <f t="shared" si="12"/>
        <v>302774.1666666667</v>
      </c>
      <c r="K70" s="38">
        <f t="shared" si="12"/>
        <v>282774.1666666667</v>
      </c>
      <c r="L70" s="38">
        <f t="shared" si="12"/>
        <v>282774.1666666667</v>
      </c>
      <c r="M70" s="62">
        <f t="shared" si="12"/>
        <v>249537.11666666667</v>
      </c>
      <c r="N70" s="63">
        <f t="shared" si="1"/>
        <v>4996584.899999999</v>
      </c>
      <c r="O70" s="31">
        <f>SUM(O58:O68)</f>
        <v>848322.5</v>
      </c>
      <c r="P70" s="31">
        <f>SUM(P58:P68)</f>
        <v>815085.45</v>
      </c>
      <c r="Q70" s="47">
        <f>SUM(Q58:Q68)</f>
        <v>757532.3333333333</v>
      </c>
      <c r="R70" s="31">
        <f>SUM(R58:R68)</f>
        <v>815085.45</v>
      </c>
      <c r="S70" s="55">
        <f>SUM(O70:R70)</f>
        <v>3236025.7333333334</v>
      </c>
      <c r="T70" s="55">
        <f>SUM(T58:T69)</f>
        <v>3293636.62</v>
      </c>
    </row>
    <row r="71" spans="1:20" ht="12.75">
      <c r="A71" s="5" t="s">
        <v>20</v>
      </c>
      <c r="B71" s="19">
        <f aca="true" t="shared" si="13" ref="B71:M71">B57-B70</f>
        <v>-33333.333333333256</v>
      </c>
      <c r="C71" s="19">
        <f t="shared" si="13"/>
        <v>61297.49999999994</v>
      </c>
      <c r="D71" s="19">
        <f t="shared" si="13"/>
        <v>71297.49999999994</v>
      </c>
      <c r="E71" s="19">
        <f t="shared" si="13"/>
        <v>71297.49999999994</v>
      </c>
      <c r="F71" s="19">
        <f t="shared" si="13"/>
        <v>71297.49999999994</v>
      </c>
      <c r="G71" s="19">
        <f t="shared" si="13"/>
        <v>-1686.9500000000407</v>
      </c>
      <c r="H71" s="19">
        <f t="shared" si="13"/>
        <v>-50343.25000000003</v>
      </c>
      <c r="I71" s="19">
        <f t="shared" si="13"/>
        <v>-50343.25000000003</v>
      </c>
      <c r="J71" s="19">
        <f t="shared" si="13"/>
        <v>51297.49999999994</v>
      </c>
      <c r="K71" s="19">
        <f t="shared" si="13"/>
        <v>71297.49999999994</v>
      </c>
      <c r="L71" s="19">
        <f t="shared" si="13"/>
        <v>71297.49999999994</v>
      </c>
      <c r="M71" s="41">
        <f t="shared" si="13"/>
        <v>-1686.9500000000407</v>
      </c>
      <c r="N71" s="30">
        <f>SUM(B71:M71)</f>
        <v>331688.76666666614</v>
      </c>
      <c r="O71" s="30">
        <f aca="true" t="shared" si="14" ref="O71:T71">O57-O70</f>
        <v>213892.5</v>
      </c>
      <c r="P71" s="30">
        <f t="shared" si="14"/>
        <v>140908.05000000005</v>
      </c>
      <c r="Q71" s="30">
        <f t="shared" si="14"/>
        <v>-49389</v>
      </c>
      <c r="R71" s="30">
        <f t="shared" si="14"/>
        <v>140908.05000000005</v>
      </c>
      <c r="S71" s="30">
        <f t="shared" si="14"/>
        <v>446319.5999999996</v>
      </c>
      <c r="T71" s="8">
        <f t="shared" si="14"/>
        <v>572825.9799999995</v>
      </c>
    </row>
    <row r="72" spans="1:20" ht="12.75">
      <c r="A72" s="5" t="s">
        <v>21</v>
      </c>
      <c r="B72" s="5">
        <v>40000</v>
      </c>
      <c r="C72" s="19">
        <f>B73</f>
        <v>6666.666666666744</v>
      </c>
      <c r="D72" s="19">
        <f aca="true" t="shared" si="15" ref="D72:M72">C73</f>
        <v>67964.16666666669</v>
      </c>
      <c r="E72" s="19">
        <f t="shared" si="15"/>
        <v>139261.66666666663</v>
      </c>
      <c r="F72" s="19">
        <f t="shared" si="15"/>
        <v>210559.16666666657</v>
      </c>
      <c r="G72" s="19">
        <f t="shared" si="15"/>
        <v>281856.6666666665</v>
      </c>
      <c r="H72" s="19">
        <f t="shared" si="15"/>
        <v>280169.71666666644</v>
      </c>
      <c r="I72" s="19">
        <f t="shared" si="15"/>
        <v>229826.4666666664</v>
      </c>
      <c r="J72" s="19">
        <f t="shared" si="15"/>
        <v>179483.21666666638</v>
      </c>
      <c r="K72" s="19">
        <f t="shared" si="15"/>
        <v>230780.71666666633</v>
      </c>
      <c r="L72" s="19">
        <f t="shared" si="15"/>
        <v>302078.21666666627</v>
      </c>
      <c r="M72" s="41">
        <f t="shared" si="15"/>
        <v>373375.7166666662</v>
      </c>
      <c r="N72" s="54"/>
      <c r="O72" s="19">
        <f>M73</f>
        <v>371688.76666666614</v>
      </c>
      <c r="P72" s="19">
        <f>O73</f>
        <v>585581.2666666661</v>
      </c>
      <c r="Q72" s="19">
        <f>P73</f>
        <v>726489.3166666662</v>
      </c>
      <c r="R72" s="19">
        <f>Q73</f>
        <v>677100.3166666662</v>
      </c>
      <c r="S72" s="5"/>
      <c r="T72" s="19">
        <f>R73</f>
        <v>818008.3666666662</v>
      </c>
    </row>
    <row r="73" spans="1:20" ht="12.75">
      <c r="A73" s="5" t="s">
        <v>22</v>
      </c>
      <c r="B73" s="19">
        <f>SUM(B71:B72)</f>
        <v>6666.666666666744</v>
      </c>
      <c r="C73" s="19">
        <f>SUM(C71:C72)</f>
        <v>67964.16666666669</v>
      </c>
      <c r="D73" s="19">
        <f aca="true" t="shared" si="16" ref="D73:M73">SUM(D71:D72)</f>
        <v>139261.66666666663</v>
      </c>
      <c r="E73" s="19">
        <f t="shared" si="16"/>
        <v>210559.16666666657</v>
      </c>
      <c r="F73" s="19">
        <f t="shared" si="16"/>
        <v>281856.6666666665</v>
      </c>
      <c r="G73" s="19">
        <f t="shared" si="16"/>
        <v>280169.71666666644</v>
      </c>
      <c r="H73" s="19">
        <f t="shared" si="16"/>
        <v>229826.4666666664</v>
      </c>
      <c r="I73" s="19">
        <f t="shared" si="16"/>
        <v>179483.21666666638</v>
      </c>
      <c r="J73" s="19">
        <f t="shared" si="16"/>
        <v>230780.71666666633</v>
      </c>
      <c r="K73" s="19">
        <f t="shared" si="16"/>
        <v>302078.21666666627</v>
      </c>
      <c r="L73" s="19">
        <f t="shared" si="16"/>
        <v>373375.7166666662</v>
      </c>
      <c r="M73" s="41">
        <f t="shared" si="16"/>
        <v>371688.76666666614</v>
      </c>
      <c r="N73" s="54"/>
      <c r="O73" s="19">
        <f>SUM(O71:O72)</f>
        <v>585581.2666666661</v>
      </c>
      <c r="P73" s="19">
        <f>SUM(P71:P72)</f>
        <v>726489.3166666662</v>
      </c>
      <c r="Q73" s="19">
        <f>SUM(Q71:Q72)</f>
        <v>677100.3166666662</v>
      </c>
      <c r="R73" s="19">
        <f>SUM(R71:R72)</f>
        <v>818008.3666666662</v>
      </c>
      <c r="S73" s="5"/>
      <c r="T73" s="19">
        <f>SUM(T71:T72)</f>
        <v>1390834.3466666657</v>
      </c>
    </row>
    <row r="75" spans="1:4" ht="12.75">
      <c r="A75" s="15" t="s">
        <v>23</v>
      </c>
      <c r="B75" s="3">
        <v>2010</v>
      </c>
      <c r="C75" s="3">
        <v>2011</v>
      </c>
      <c r="D75" s="3">
        <v>2012</v>
      </c>
    </row>
    <row r="76" spans="1:4" ht="12.75">
      <c r="A76" s="5" t="s">
        <v>58</v>
      </c>
      <c r="B76" s="19">
        <f>N55</f>
        <v>3328273.6666666656</v>
      </c>
      <c r="C76" s="5">
        <f>S55</f>
        <v>3682345.333333333</v>
      </c>
      <c r="D76" s="5">
        <f>T55</f>
        <v>3866462.5999999996</v>
      </c>
    </row>
    <row r="77" spans="1:4" ht="12.75">
      <c r="A77" s="5" t="s">
        <v>10</v>
      </c>
      <c r="B77" s="19">
        <f>N59</f>
        <v>1041427.5666666667</v>
      </c>
      <c r="C77" s="5">
        <f>S59</f>
        <v>1152217.7333333332</v>
      </c>
      <c r="D77" s="19">
        <f>T59</f>
        <v>1209828.6199999999</v>
      </c>
    </row>
    <row r="78" spans="1:4" ht="12.75">
      <c r="A78" s="5" t="s">
        <v>84</v>
      </c>
      <c r="B78" s="19">
        <f>N62</f>
        <v>600000</v>
      </c>
      <c r="C78" s="5">
        <f aca="true" t="shared" si="17" ref="C78:D82">S62</f>
        <v>0</v>
      </c>
      <c r="D78" s="5">
        <f t="shared" si="17"/>
        <v>0</v>
      </c>
    </row>
    <row r="79" spans="1:4" ht="12.75">
      <c r="A79" s="5" t="s">
        <v>85</v>
      </c>
      <c r="B79" s="19">
        <f>N63</f>
        <v>901824</v>
      </c>
      <c r="C79" s="5">
        <f t="shared" si="17"/>
        <v>983808</v>
      </c>
      <c r="D79" s="5">
        <f t="shared" si="17"/>
        <v>983808</v>
      </c>
    </row>
    <row r="80" spans="1:4" ht="12.75">
      <c r="A80" s="27" t="s">
        <v>73</v>
      </c>
      <c r="B80" s="19">
        <f>N64</f>
        <v>275000</v>
      </c>
      <c r="C80" s="5">
        <f t="shared" si="17"/>
        <v>300000</v>
      </c>
      <c r="D80" s="5">
        <f t="shared" si="17"/>
        <v>300000</v>
      </c>
    </row>
    <row r="81" spans="1:4" ht="12.75">
      <c r="A81" s="5" t="s">
        <v>86</v>
      </c>
      <c r="B81" s="19">
        <f>N65</f>
        <v>75000</v>
      </c>
      <c r="C81" s="5">
        <f t="shared" si="17"/>
        <v>80000</v>
      </c>
      <c r="D81" s="5">
        <f t="shared" si="17"/>
        <v>80000</v>
      </c>
    </row>
    <row r="82" spans="1:4" ht="12.75">
      <c r="A82" s="5" t="s">
        <v>87</v>
      </c>
      <c r="B82" s="19">
        <f>N66</f>
        <v>420000</v>
      </c>
      <c r="C82" s="5">
        <f t="shared" si="17"/>
        <v>420000</v>
      </c>
      <c r="D82" s="5">
        <f t="shared" si="17"/>
        <v>420000</v>
      </c>
    </row>
    <row r="83" spans="1:4" ht="12.75">
      <c r="A83" s="5" t="s">
        <v>89</v>
      </c>
      <c r="B83" s="19">
        <f>N68</f>
        <v>99999.99999999999</v>
      </c>
      <c r="C83" s="5">
        <f>S68</f>
        <v>100000</v>
      </c>
      <c r="D83" s="5">
        <f>T68</f>
        <v>100000</v>
      </c>
    </row>
    <row r="84" spans="1:4" ht="13.5" thickBot="1">
      <c r="A84" s="5" t="s">
        <v>90</v>
      </c>
      <c r="B84" s="7">
        <f>B60*B11</f>
        <v>120000</v>
      </c>
      <c r="C84" s="7">
        <f>C93*B11</f>
        <v>120000</v>
      </c>
      <c r="D84" s="7">
        <f>D93*B11</f>
        <v>120000</v>
      </c>
    </row>
    <row r="85" spans="1:4" ht="13.5" thickBot="1">
      <c r="A85" s="40" t="s">
        <v>29</v>
      </c>
      <c r="B85" s="31">
        <f>SUM(B77:B84)</f>
        <v>3533251.5666666664</v>
      </c>
      <c r="C85" s="10">
        <f>SUM(C77:C84)</f>
        <v>3156025.7333333334</v>
      </c>
      <c r="D85" s="10">
        <f>SUM(D77:D84)</f>
        <v>3213636.62</v>
      </c>
    </row>
    <row r="86" spans="1:4" ht="12.75">
      <c r="A86" s="26" t="s">
        <v>30</v>
      </c>
      <c r="B86" s="30">
        <f>B76-B85</f>
        <v>-204977.90000000084</v>
      </c>
      <c r="C86" s="30">
        <f>C76-C85</f>
        <v>526319.5999999996</v>
      </c>
      <c r="D86" s="30">
        <f>D76-D85</f>
        <v>652825.9799999995</v>
      </c>
    </row>
    <row r="88" spans="1:4" ht="12.75">
      <c r="A88" s="15" t="s">
        <v>31</v>
      </c>
      <c r="B88" s="3">
        <v>2010</v>
      </c>
      <c r="C88" s="3">
        <v>2011</v>
      </c>
      <c r="D88" s="3">
        <v>2012</v>
      </c>
    </row>
    <row r="89" spans="1:4" ht="12.75">
      <c r="A89" s="16" t="s">
        <v>32</v>
      </c>
      <c r="B89" s="5"/>
      <c r="C89" s="5"/>
      <c r="D89" s="5"/>
    </row>
    <row r="90" spans="1:4" ht="12.75">
      <c r="A90" s="5" t="s">
        <v>33</v>
      </c>
      <c r="B90" s="19">
        <f>M73</f>
        <v>371688.76666666614</v>
      </c>
      <c r="C90" s="19">
        <f>R73</f>
        <v>818008.3666666662</v>
      </c>
      <c r="D90" s="19">
        <f>T73</f>
        <v>1390834.3466666657</v>
      </c>
    </row>
    <row r="91" spans="1:4" ht="12.75">
      <c r="A91" s="5" t="s">
        <v>34</v>
      </c>
      <c r="B91" s="19">
        <f>N61</f>
        <v>200000</v>
      </c>
      <c r="C91" s="19">
        <f>B91+S61</f>
        <v>200000</v>
      </c>
      <c r="D91" s="19">
        <f>C91+T61</f>
        <v>200000</v>
      </c>
    </row>
    <row r="92" spans="1:4" ht="12.75">
      <c r="A92" s="4" t="s">
        <v>35</v>
      </c>
      <c r="B92" s="20">
        <f>SUM(B90:B91)</f>
        <v>571688.7666666661</v>
      </c>
      <c r="C92" s="20">
        <f>SUM(C90:C91)</f>
        <v>1018008.3666666662</v>
      </c>
      <c r="D92" s="20">
        <f>SUM(D90:D91)</f>
        <v>1590834.3466666657</v>
      </c>
    </row>
    <row r="93" spans="1:4" ht="12.75">
      <c r="A93" s="5" t="s">
        <v>36</v>
      </c>
      <c r="B93" s="5">
        <f>B60</f>
        <v>1200000</v>
      </c>
      <c r="C93" s="5">
        <f>B93+P60</f>
        <v>1200000</v>
      </c>
      <c r="D93" s="5">
        <f>C93+T60</f>
        <v>1200000</v>
      </c>
    </row>
    <row r="94" spans="1:4" ht="12.75">
      <c r="A94" s="5" t="s">
        <v>28</v>
      </c>
      <c r="B94" s="5">
        <f>-B84</f>
        <v>-120000</v>
      </c>
      <c r="C94" s="5">
        <f>B94-C84</f>
        <v>-240000</v>
      </c>
      <c r="D94" s="5">
        <f>C94-D84</f>
        <v>-360000</v>
      </c>
    </row>
    <row r="95" spans="1:4" ht="12.75">
      <c r="A95" s="4" t="s">
        <v>37</v>
      </c>
      <c r="B95" s="3">
        <f>SUM(B93:B94)</f>
        <v>1080000</v>
      </c>
      <c r="C95" s="3">
        <f>SUM(C93:C94)</f>
        <v>960000</v>
      </c>
      <c r="D95" s="3">
        <f>SUM(D93:D94)</f>
        <v>840000</v>
      </c>
    </row>
    <row r="96" spans="1:4" ht="12.75">
      <c r="A96" s="3" t="s">
        <v>38</v>
      </c>
      <c r="B96" s="20">
        <f>B92+B95</f>
        <v>1651688.7666666661</v>
      </c>
      <c r="C96" s="20">
        <f>C92+C95</f>
        <v>1978008.3666666662</v>
      </c>
      <c r="D96" s="20">
        <f>D92+D95</f>
        <v>2430834.3466666657</v>
      </c>
    </row>
    <row r="97" spans="1:4" ht="12.75">
      <c r="A97" s="16" t="s">
        <v>39</v>
      </c>
      <c r="B97" s="5"/>
      <c r="C97" s="5"/>
      <c r="D97" s="5"/>
    </row>
    <row r="98" spans="1:4" ht="12.75">
      <c r="A98" s="5"/>
      <c r="B98" s="5"/>
      <c r="C98" s="5"/>
      <c r="D98" s="5"/>
    </row>
    <row r="99" spans="1:4" ht="12.75">
      <c r="A99" s="5" t="s">
        <v>82</v>
      </c>
      <c r="B99" s="19">
        <f>B6-N67</f>
        <v>1816666.6666666667</v>
      </c>
      <c r="C99" s="19">
        <f>B99-S67</f>
        <v>1616666.6666666667</v>
      </c>
      <c r="D99" s="19">
        <f>C99-T67</f>
        <v>1416666.6666666667</v>
      </c>
    </row>
    <row r="100" spans="1:4" ht="12.75">
      <c r="A100" s="5" t="s">
        <v>42</v>
      </c>
      <c r="B100" s="5">
        <v>40000</v>
      </c>
      <c r="C100" s="5">
        <f>B100</f>
        <v>40000</v>
      </c>
      <c r="D100" s="5">
        <f>C100</f>
        <v>40000</v>
      </c>
    </row>
    <row r="101" spans="1:4" ht="12.75">
      <c r="A101" s="5" t="s">
        <v>43</v>
      </c>
      <c r="B101" s="19">
        <f>B86</f>
        <v>-204977.90000000084</v>
      </c>
      <c r="C101" s="19">
        <f>C86</f>
        <v>526319.5999999996</v>
      </c>
      <c r="D101" s="19">
        <f>D86</f>
        <v>652825.9799999995</v>
      </c>
    </row>
    <row r="102" spans="1:4" ht="12.75">
      <c r="A102" s="5" t="s">
        <v>44</v>
      </c>
      <c r="B102" s="5">
        <v>0</v>
      </c>
      <c r="C102" s="19">
        <f>B86</f>
        <v>-204977.90000000084</v>
      </c>
      <c r="D102" s="19">
        <f>C102+C101-T69</f>
        <v>321341.6999999988</v>
      </c>
    </row>
    <row r="103" spans="1:4" ht="12.75">
      <c r="A103" s="3" t="s">
        <v>45</v>
      </c>
      <c r="B103" s="20">
        <f>SUM(B99:B102)</f>
        <v>1651688.766666666</v>
      </c>
      <c r="C103" s="20">
        <f>SUM(C99:C102)</f>
        <v>1978008.3666666658</v>
      </c>
      <c r="D103" s="20">
        <f>SUM(D99:D102)</f>
        <v>2430834.3466666653</v>
      </c>
    </row>
    <row r="104" spans="2:4" ht="12.75">
      <c r="B104" s="39">
        <f>B96-B103</f>
        <v>0</v>
      </c>
      <c r="C104" s="39">
        <f>C96-C103</f>
        <v>0</v>
      </c>
      <c r="D104" s="39">
        <f>D96-D103</f>
        <v>0</v>
      </c>
    </row>
  </sheetData>
  <printOptions/>
  <pageMargins left="0.75" right="0.75" top="1" bottom="1" header="0.5" footer="0.5"/>
  <pageSetup horizontalDpi="600" verticalDpi="600" orientation="portrait" paperSize="9" r:id="rId1"/>
  <ignoredErrors>
    <ignoredError sqref="Q6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g36_ghost</dc:creator>
  <cp:keywords/>
  <dc:description/>
  <cp:lastModifiedBy>tmk</cp:lastModifiedBy>
  <dcterms:created xsi:type="dcterms:W3CDTF">2010-03-22T08:59:08Z</dcterms:created>
  <dcterms:modified xsi:type="dcterms:W3CDTF">2010-03-25T08:39:40Z</dcterms:modified>
  <cp:category/>
  <cp:version/>
  <cp:contentType/>
  <cp:contentStatus/>
</cp:coreProperties>
</file>